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_Eri\Google Drive\RRRC BoD\Hunt Tests\2019 April\Budget\"/>
    </mc:Choice>
  </mc:AlternateContent>
  <xr:revisionPtr revIDLastSave="0" documentId="13_ncr:1_{936D2853-68DF-4DC0-A47F-287A57DB7BF1}" xr6:coauthVersionLast="43" xr6:coauthVersionMax="43" xr10:uidLastSave="{00000000-0000-0000-0000-000000000000}"/>
  <bookViews>
    <workbookView xWindow="-1815" yWindow="4290" windowWidth="28890" windowHeight="15480" firstSheet="1" activeTab="2" xr2:uid="{00000000-000D-0000-FFFF-FFFF00000000}"/>
  </bookViews>
  <sheets>
    <sheet name="Numbers" sheetId="10" r:id="rId1"/>
    <sheet name="2019 April HT Budget" sheetId="3" r:id="rId2"/>
    <sheet name="MvsSvsJ" sheetId="13" r:id="rId3"/>
    <sheet name="Misc Actuals" sheetId="14" r:id="rId4"/>
    <sheet name="Scratches" sheetId="12" r:id="rId5"/>
    <sheet name="Judges Expenses" sheetId="11" r:id="rId6"/>
    <sheet name="Ammo" sheetId="5" r:id="rId7"/>
    <sheet name="Passes-Ribbons" sheetId="9" r:id="rId8"/>
    <sheet name="Bird Calculations" sheetId="6" r:id="rId9"/>
  </sheets>
  <definedNames>
    <definedName name="_xlnm.Print_Area" localSheetId="1">'2019 April HT Budget'!$A$1:$H$67</definedName>
  </definedNames>
  <calcPr calcId="181029"/>
  <fileRecoveryPr autoRecover="0"/>
</workbook>
</file>

<file path=xl/calcChain.xml><?xml version="1.0" encoding="utf-8"?>
<calcChain xmlns="http://schemas.openxmlformats.org/spreadsheetml/2006/main">
  <c r="N19" i="13" l="1"/>
  <c r="N18" i="13"/>
  <c r="N17" i="13"/>
  <c r="D17" i="14" l="1"/>
  <c r="D16" i="14"/>
  <c r="B62" i="3" l="1"/>
  <c r="D10" i="14"/>
  <c r="D9" i="14"/>
  <c r="C14" i="13"/>
  <c r="C45" i="3" l="1"/>
  <c r="C19" i="13"/>
  <c r="B31" i="3"/>
  <c r="B57" i="3"/>
  <c r="B64" i="3"/>
  <c r="C11" i="13"/>
  <c r="C21" i="13"/>
  <c r="C9" i="11"/>
  <c r="D8" i="11"/>
  <c r="D7" i="11"/>
  <c r="B9" i="11"/>
  <c r="D23" i="6"/>
  <c r="J27" i="6" l="1"/>
  <c r="J26" i="6"/>
  <c r="B4" i="9"/>
  <c r="B3" i="9"/>
  <c r="B2" i="9"/>
  <c r="D3" i="11" l="1"/>
  <c r="D4" i="11"/>
  <c r="D5" i="11"/>
  <c r="D6" i="11"/>
  <c r="B30" i="3" l="1"/>
  <c r="B9" i="10" l="1"/>
  <c r="B41" i="3" s="1"/>
  <c r="D34" i="10"/>
  <c r="C34" i="10"/>
  <c r="B34" i="10"/>
  <c r="C28" i="10"/>
  <c r="N24" i="6"/>
  <c r="F22" i="6"/>
  <c r="B23" i="6"/>
  <c r="F23" i="6" s="1"/>
  <c r="C21" i="10"/>
  <c r="C20" i="10"/>
  <c r="C19" i="10"/>
  <c r="D19" i="10" s="1"/>
  <c r="D3" i="5"/>
  <c r="D4" i="5"/>
  <c r="D2" i="5"/>
  <c r="C3" i="5"/>
  <c r="C4" i="5"/>
  <c r="C2" i="5"/>
  <c r="D7" i="10"/>
  <c r="G4" i="5" s="1"/>
  <c r="D5" i="10"/>
  <c r="G3" i="5" s="1"/>
  <c r="D3" i="10"/>
  <c r="D3" i="13" s="1"/>
  <c r="B24" i="3"/>
  <c r="B25" i="6"/>
  <c r="N25" i="6" s="1"/>
  <c r="B26" i="6"/>
  <c r="B27" i="6"/>
  <c r="B24" i="6"/>
  <c r="B22" i="6"/>
  <c r="E2" i="13"/>
  <c r="D27" i="10" l="1"/>
  <c r="C27" i="10"/>
  <c r="B27" i="10"/>
  <c r="D31" i="10"/>
  <c r="E34" i="10"/>
  <c r="G34" i="10" s="1"/>
  <c r="B34" i="3"/>
  <c r="F3" i="13"/>
  <c r="G2" i="5"/>
  <c r="C8" i="5"/>
  <c r="C10" i="5"/>
  <c r="E3" i="13"/>
  <c r="E25" i="13" s="1"/>
  <c r="C9" i="5"/>
  <c r="H34" i="10" l="1"/>
  <c r="F34" i="10"/>
  <c r="E32" i="10"/>
  <c r="F32" i="10" s="1"/>
  <c r="E33" i="10"/>
  <c r="H33" i="10" s="1"/>
  <c r="C18" i="13"/>
  <c r="C17" i="13"/>
  <c r="C16" i="13"/>
  <c r="C13" i="13"/>
  <c r="C4" i="13"/>
  <c r="H32" i="10" l="1"/>
  <c r="F33" i="10"/>
  <c r="G32" i="10"/>
  <c r="G33" i="10"/>
  <c r="E31" i="10"/>
  <c r="F31" i="10" s="1"/>
  <c r="E16" i="13"/>
  <c r="D16" i="13"/>
  <c r="F16" i="13"/>
  <c r="F18" i="13"/>
  <c r="E18" i="13"/>
  <c r="D18" i="13"/>
  <c r="G31" i="10" l="1"/>
  <c r="H31" i="10"/>
  <c r="E29" i="10"/>
  <c r="H29" i="10" s="1"/>
  <c r="F13" i="13" s="1"/>
  <c r="C6" i="10"/>
  <c r="D28" i="10" s="1"/>
  <c r="C2" i="10"/>
  <c r="B28" i="10" s="1"/>
  <c r="E21" i="10"/>
  <c r="D26" i="10" s="1"/>
  <c r="F20" i="10"/>
  <c r="C26" i="10" s="1"/>
  <c r="F19" i="10"/>
  <c r="E19" i="10"/>
  <c r="F22" i="10"/>
  <c r="E22" i="10"/>
  <c r="D23" i="10"/>
  <c r="B26" i="10" l="1"/>
  <c r="E26" i="10" s="1"/>
  <c r="H26" i="10" s="1"/>
  <c r="F29" i="10"/>
  <c r="D13" i="13" s="1"/>
  <c r="G29" i="10"/>
  <c r="E13" i="13" s="1"/>
  <c r="F2" i="13"/>
  <c r="F25" i="13" s="1"/>
  <c r="B25" i="3"/>
  <c r="D2" i="13"/>
  <c r="D25" i="13" s="1"/>
  <c r="B23" i="3"/>
  <c r="E23" i="10"/>
  <c r="F23" i="10"/>
  <c r="E27" i="10"/>
  <c r="H27" i="10" s="1"/>
  <c r="G25" i="13" l="1"/>
  <c r="C36" i="3"/>
  <c r="E28" i="10"/>
  <c r="G28" i="10" s="1"/>
  <c r="F26" i="10"/>
  <c r="D19" i="13" s="1"/>
  <c r="C9" i="13"/>
  <c r="F9" i="13" s="1"/>
  <c r="G26" i="10"/>
  <c r="E4" i="13" s="1"/>
  <c r="F19" i="13"/>
  <c r="F4" i="13"/>
  <c r="F27" i="10"/>
  <c r="F17" i="13"/>
  <c r="F14" i="13"/>
  <c r="G27" i="10"/>
  <c r="B4" i="12"/>
  <c r="D2" i="11"/>
  <c r="D9" i="11" s="1"/>
  <c r="D14" i="13" l="1"/>
  <c r="E19" i="13"/>
  <c r="H28" i="10"/>
  <c r="F28" i="10"/>
  <c r="E9" i="13"/>
  <c r="D9" i="13"/>
  <c r="D4" i="13"/>
  <c r="D17" i="13"/>
  <c r="E17" i="13"/>
  <c r="E14" i="13"/>
  <c r="B6" i="3" l="1"/>
  <c r="N23" i="6" l="1"/>
  <c r="N22" i="6"/>
  <c r="J23" i="6"/>
  <c r="C3" i="9" l="1"/>
  <c r="C4" i="9"/>
  <c r="C2" i="9"/>
  <c r="E7" i="5"/>
  <c r="E2" i="5"/>
  <c r="D2" i="9" l="1"/>
  <c r="D4" i="9"/>
  <c r="D3" i="9"/>
  <c r="E9" i="5"/>
  <c r="E8" i="5"/>
  <c r="E10" i="5"/>
  <c r="D5" i="9" l="1"/>
  <c r="E11" i="5"/>
  <c r="F11" i="5" s="1"/>
  <c r="B32" i="3" s="1"/>
  <c r="H46" i="3"/>
  <c r="C7" i="13"/>
  <c r="F7" i="13" l="1"/>
  <c r="E7" i="13"/>
  <c r="D7" i="13"/>
  <c r="C5" i="13"/>
  <c r="C8" i="13"/>
  <c r="B17" i="3"/>
  <c r="C47" i="3"/>
  <c r="F12" i="6"/>
  <c r="H12" i="6" s="1"/>
  <c r="F11" i="6"/>
  <c r="H11" i="6" s="1"/>
  <c r="F10" i="6"/>
  <c r="J13" i="6"/>
  <c r="Q9" i="3"/>
  <c r="Q10" i="3" s="1"/>
  <c r="R10" i="3" s="1"/>
  <c r="J22" i="6"/>
  <c r="F28" i="6"/>
  <c r="N30" i="6" s="1"/>
  <c r="D22" i="6"/>
  <c r="N28" i="6"/>
  <c r="L25" i="6"/>
  <c r="L24" i="6"/>
  <c r="H28" i="6"/>
  <c r="W11" i="3"/>
  <c r="F4" i="5"/>
  <c r="F3" i="5"/>
  <c r="F2" i="5"/>
  <c r="C35" i="10" l="1"/>
  <c r="C30" i="10"/>
  <c r="D28" i="6"/>
  <c r="B35" i="10"/>
  <c r="B30" i="10"/>
  <c r="D8" i="13"/>
  <c r="F8" i="13"/>
  <c r="E8" i="13"/>
  <c r="C46" i="3"/>
  <c r="C12" i="13" s="1"/>
  <c r="C26" i="3"/>
  <c r="H3" i="5"/>
  <c r="H2" i="5"/>
  <c r="H4" i="5"/>
  <c r="J28" i="6"/>
  <c r="L28" i="6"/>
  <c r="F13" i="6"/>
  <c r="H10" i="6"/>
  <c r="H13" i="6" s="1"/>
  <c r="K14" i="6" s="1"/>
  <c r="N29" i="6" l="1"/>
  <c r="N31" i="6" s="1"/>
  <c r="E30" i="10" s="1"/>
  <c r="E35" i="10"/>
  <c r="F35" i="10" s="1"/>
  <c r="D5" i="13" s="1"/>
  <c r="E12" i="13"/>
  <c r="D12" i="13"/>
  <c r="F12" i="13"/>
  <c r="C15" i="13"/>
  <c r="F75" i="3"/>
  <c r="E71" i="3"/>
  <c r="H5" i="5"/>
  <c r="I5" i="5" s="1"/>
  <c r="B33" i="3" s="1"/>
  <c r="E26" i="3"/>
  <c r="C48" i="3"/>
  <c r="C10" i="13" l="1"/>
  <c r="H35" i="10"/>
  <c r="F5" i="13" s="1"/>
  <c r="G35" i="10"/>
  <c r="E5" i="13" s="1"/>
  <c r="H30" i="10"/>
  <c r="G30" i="10"/>
  <c r="F30" i="10"/>
  <c r="E11" i="13"/>
  <c r="F11" i="13"/>
  <c r="D11" i="13"/>
  <c r="C6" i="13"/>
  <c r="F21" i="13"/>
  <c r="D21" i="13"/>
  <c r="E21" i="13"/>
  <c r="E15" i="13"/>
  <c r="D15" i="13"/>
  <c r="F15" i="13"/>
  <c r="C64" i="3"/>
  <c r="C38" i="3" l="1"/>
  <c r="E10" i="13"/>
  <c r="F10" i="13"/>
  <c r="D10" i="13"/>
  <c r="D6" i="13"/>
  <c r="F6" i="13"/>
  <c r="E6" i="13"/>
  <c r="B63" i="3" l="1"/>
  <c r="C20" i="13" s="1"/>
  <c r="C65" i="3" l="1"/>
  <c r="E72" i="3" s="1"/>
  <c r="F72" i="3" s="1"/>
  <c r="C22" i="13"/>
  <c r="D20" i="13"/>
  <c r="D22" i="13" s="1"/>
  <c r="F20" i="13"/>
  <c r="F22" i="13" s="1"/>
  <c r="E20" i="13"/>
  <c r="E22" i="13" s="1"/>
  <c r="F77" i="3" l="1"/>
  <c r="F84" i="3"/>
  <c r="F79" i="3"/>
  <c r="F80" i="3"/>
  <c r="F83" i="3"/>
  <c r="F81" i="3"/>
  <c r="F78" i="3"/>
  <c r="F76" i="3"/>
  <c r="F82" i="3"/>
  <c r="F85" i="3"/>
  <c r="D66" i="3"/>
  <c r="D67" i="3" s="1"/>
  <c r="E23" i="13"/>
  <c r="E24" i="13" s="1"/>
  <c r="E26" i="13"/>
  <c r="E27" i="13" s="1"/>
  <c r="D23" i="13"/>
  <c r="D24" i="13" s="1"/>
  <c r="D26" i="13"/>
  <c r="F23" i="13"/>
  <c r="F24" i="13" s="1"/>
  <c r="F26" i="13"/>
  <c r="F27" i="13" s="1"/>
  <c r="F86" i="3" l="1"/>
  <c r="E73" i="3"/>
  <c r="F73" i="3" s="1"/>
  <c r="E66" i="3"/>
  <c r="D27" i="13"/>
  <c r="G27" i="13" s="1"/>
  <c r="G26" i="13"/>
</calcChain>
</file>

<file path=xl/sharedStrings.xml><?xml version="1.0" encoding="utf-8"?>
<sst xmlns="http://schemas.openxmlformats.org/spreadsheetml/2006/main" count="308" uniqueCount="159">
  <si>
    <t>Dogs</t>
  </si>
  <si>
    <t>Fri</t>
  </si>
  <si>
    <t>Sat</t>
  </si>
  <si>
    <t>Sun</t>
  </si>
  <si>
    <t>Days</t>
  </si>
  <si>
    <t>Misc</t>
  </si>
  <si>
    <t>Master</t>
  </si>
  <si>
    <t>Stakes</t>
  </si>
  <si>
    <t>Flyers</t>
  </si>
  <si>
    <t>Poppers</t>
  </si>
  <si>
    <t>Shots/Flyer</t>
  </si>
  <si>
    <t>Senior</t>
  </si>
  <si>
    <t>Junior</t>
  </si>
  <si>
    <t>Poppers (Box)</t>
  </si>
  <si>
    <t>Steel Shot (Box)</t>
  </si>
  <si>
    <t>Paid Workers</t>
  </si>
  <si>
    <t>Lunch</t>
  </si>
  <si>
    <t>Ribbons</t>
  </si>
  <si>
    <t>Workers</t>
  </si>
  <si>
    <t>Steel Shot</t>
  </si>
  <si>
    <t>Travel</t>
  </si>
  <si>
    <t>Lunches</t>
  </si>
  <si>
    <t>Grounds</t>
  </si>
  <si>
    <t>VDGIF</t>
  </si>
  <si>
    <t>Toilets</t>
  </si>
  <si>
    <t>Banquet</t>
  </si>
  <si>
    <t>Gifts</t>
  </si>
  <si>
    <t>Lodging/day</t>
  </si>
  <si>
    <t>Expenses/day</t>
  </si>
  <si>
    <t># of Judges</t>
  </si>
  <si>
    <t>Days (Travel/lodging)</t>
  </si>
  <si>
    <t>Total</t>
  </si>
  <si>
    <t>EE Cost/Dog</t>
  </si>
  <si>
    <t>AKC Cost/Dog</t>
  </si>
  <si>
    <t>Hospitality</t>
  </si>
  <si>
    <t>AKC Test</t>
  </si>
  <si>
    <t>AKC Entry</t>
  </si>
  <si>
    <t>Per Dog</t>
  </si>
  <si>
    <t>Entry Fees</t>
  </si>
  <si>
    <t>Entry Revenue</t>
  </si>
  <si>
    <t>Field Expenses</t>
  </si>
  <si>
    <t>Judge Expenses</t>
  </si>
  <si>
    <t>Misc Expenses</t>
  </si>
  <si>
    <t>1st</t>
  </si>
  <si>
    <t>2nd</t>
  </si>
  <si>
    <t>3rd</t>
  </si>
  <si>
    <t>Shots</t>
  </si>
  <si>
    <t>Revenue</t>
  </si>
  <si>
    <t># of Paid Workers</t>
  </si>
  <si>
    <t>Paid worker/day</t>
  </si>
  <si>
    <t>$2.5/catalogue and .75 catalogues/dogs entered</t>
  </si>
  <si>
    <t>Nobird</t>
  </si>
  <si>
    <t>w/ No Bird</t>
  </si>
  <si>
    <t>Fresh Birds</t>
  </si>
  <si>
    <t>Rebird</t>
  </si>
  <si>
    <t>Assumptions</t>
  </si>
  <si>
    <t>Master flyers are shot on Friday and will provide fresh birds for Jr/Sr</t>
  </si>
  <si>
    <t>Flyer</t>
  </si>
  <si>
    <t>Fresh</t>
  </si>
  <si>
    <t>Saturday</t>
  </si>
  <si>
    <t>Birds/Series</t>
  </si>
  <si>
    <t>Blind</t>
  </si>
  <si>
    <t>Master A</t>
  </si>
  <si>
    <t>Master B</t>
  </si>
  <si>
    <t>Senior A</t>
  </si>
  <si>
    <t>Senior B</t>
  </si>
  <si>
    <t>Junior A</t>
  </si>
  <si>
    <t>Junior B</t>
  </si>
  <si>
    <t xml:space="preserve">Sunday </t>
  </si>
  <si>
    <t xml:space="preserve">Flyer </t>
  </si>
  <si>
    <t>Coin</t>
  </si>
  <si>
    <t>Title Coins</t>
  </si>
  <si>
    <t>Birds</t>
  </si>
  <si>
    <t>Scratches</t>
  </si>
  <si>
    <t>EE CC %</t>
  </si>
  <si>
    <t>EE S&amp;H</t>
  </si>
  <si>
    <t>Misc Revenue</t>
  </si>
  <si>
    <t>Purina Donation</t>
  </si>
  <si>
    <t>Setup Dinner</t>
  </si>
  <si>
    <t xml:space="preserve"> </t>
  </si>
  <si>
    <t>EE</t>
  </si>
  <si>
    <t>Profit</t>
  </si>
  <si>
    <t>Ribbons/etc</t>
  </si>
  <si>
    <t>Judges</t>
  </si>
  <si>
    <t>AKC</t>
  </si>
  <si>
    <t>Expenses</t>
  </si>
  <si>
    <t>Expenses Breakdown</t>
  </si>
  <si>
    <t>Expendables</t>
  </si>
  <si>
    <t>5/day</t>
  </si>
  <si>
    <t>Yeti</t>
  </si>
  <si>
    <t>Apparel</t>
  </si>
  <si>
    <t>Poppers/Dog</t>
  </si>
  <si>
    <t>Total/Poppers</t>
  </si>
  <si>
    <t>Max</t>
  </si>
  <si>
    <t>Pass Rate</t>
  </si>
  <si>
    <t>Final</t>
  </si>
  <si>
    <t>Ammo</t>
  </si>
  <si>
    <t>Flyrs</t>
  </si>
  <si>
    <t>Shots per flyers</t>
  </si>
  <si>
    <t>%Pass</t>
  </si>
  <si>
    <t>Dead</t>
  </si>
  <si>
    <t>Judges  dinner</t>
  </si>
  <si>
    <t>Hotel</t>
  </si>
  <si>
    <t xml:space="preserve">per </t>
  </si>
  <si>
    <t>CC Fees</t>
  </si>
  <si>
    <t>Catalogues</t>
  </si>
  <si>
    <t>Ratios</t>
  </si>
  <si>
    <t>$</t>
  </si>
  <si>
    <t>M</t>
  </si>
  <si>
    <t>S</t>
  </si>
  <si>
    <t>J</t>
  </si>
  <si>
    <t>Entry</t>
  </si>
  <si>
    <t>Travel/Lodging</t>
  </si>
  <si>
    <t>Per Dog (Income-Expenses)</t>
  </si>
  <si>
    <t>Total Expenses</t>
  </si>
  <si>
    <t>Total Revenue</t>
  </si>
  <si>
    <t>Same</t>
  </si>
  <si>
    <t>Pass</t>
  </si>
  <si>
    <t>Per Dog Expenses</t>
  </si>
  <si>
    <t>Entry Fee</t>
  </si>
  <si>
    <t># of Dogs</t>
  </si>
  <si>
    <t>Total Income</t>
  </si>
  <si>
    <t>Titles</t>
  </si>
  <si>
    <t>#s</t>
  </si>
  <si>
    <t>per setup</t>
  </si>
  <si>
    <t>+</t>
  </si>
  <si>
    <t>Air and car Rental</t>
  </si>
  <si>
    <t>Firday</t>
  </si>
  <si>
    <t>Worker Raffle</t>
  </si>
  <si>
    <t>Roxanne Fleming</t>
  </si>
  <si>
    <t>Sarah Wildgen</t>
  </si>
  <si>
    <t>Karen Hollander</t>
  </si>
  <si>
    <t>Robbie Grifffith</t>
  </si>
  <si>
    <t>Mary Williams</t>
  </si>
  <si>
    <t>John Cottenham</t>
  </si>
  <si>
    <t>Darin Morman</t>
  </si>
  <si>
    <t>Joe Romanczak</t>
  </si>
  <si>
    <t>Shelley Schiling</t>
  </si>
  <si>
    <t>Paul Donhauser</t>
  </si>
  <si>
    <t>Ice</t>
  </si>
  <si>
    <t xml:space="preserve">Ice &amp; Donuts </t>
  </si>
  <si>
    <t>Maria O</t>
  </si>
  <si>
    <t>Maria O - Ace</t>
  </si>
  <si>
    <t>Flowers</t>
  </si>
  <si>
    <t>Misc/Hosp</t>
  </si>
  <si>
    <t>Eileen</t>
  </si>
  <si>
    <t>Judges books</t>
  </si>
  <si>
    <t>CC</t>
  </si>
  <si>
    <t>Sandy</t>
  </si>
  <si>
    <t>Soda/Medical</t>
  </si>
  <si>
    <t>Stanley</t>
  </si>
  <si>
    <t>Whitacre</t>
  </si>
  <si>
    <t>Magnets/Labels</t>
  </si>
  <si>
    <t>Hosp/Misc</t>
  </si>
  <si>
    <t>H</t>
  </si>
  <si>
    <t>Write-In-Rain</t>
  </si>
  <si>
    <t>Staples</t>
  </si>
  <si>
    <t>Whiteboards</t>
  </si>
  <si>
    <t>P-touch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</si>
</sst>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&quot;$&quot;#,##0.00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9" fontId="0" fillId="0" borderId="0" xfId="0" applyNumberFormat="1"/>
    <xf numFmtId="0" fontId="0" fillId="0" borderId="1" xfId="0" applyBorder="1"/>
    <xf numFmtId="1" fontId="0" fillId="0" borderId="0" xfId="0" applyNumberFormat="1"/>
    <xf numFmtId="0" fontId="0" fillId="0" borderId="0" xfId="0" applyAlignment="1">
      <alignment horizontal="left" indent="2"/>
    </xf>
    <xf numFmtId="0" fontId="0" fillId="3" borderId="1" xfId="0" applyFill="1" applyBorder="1"/>
    <xf numFmtId="0" fontId="0" fillId="3" borderId="2" xfId="0" applyFill="1" applyBorder="1"/>
    <xf numFmtId="1" fontId="0" fillId="0" borderId="0" xfId="0" quotePrefix="1" applyNumberFormat="1" applyAlignment="1">
      <alignment horizontal="right"/>
    </xf>
    <xf numFmtId="0" fontId="0" fillId="4" borderId="1" xfId="0" applyFill="1" applyBorder="1"/>
    <xf numFmtId="0" fontId="0" fillId="5" borderId="1" xfId="0" applyFill="1" applyBorder="1"/>
    <xf numFmtId="0" fontId="0" fillId="3" borderId="0" xfId="0" applyFill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5" borderId="7" xfId="0" applyFill="1" applyBorder="1"/>
    <xf numFmtId="0" fontId="0" fillId="3" borderId="6" xfId="0" applyFill="1" applyBorder="1"/>
    <xf numFmtId="0" fontId="1" fillId="3" borderId="1" xfId="0" applyFont="1" applyFill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2" fillId="0" borderId="0" xfId="0" applyFont="1" applyAlignment="1">
      <alignment horizontal="left"/>
    </xf>
    <xf numFmtId="165" fontId="4" fillId="0" borderId="0" xfId="0" applyNumberFormat="1" applyFont="1"/>
    <xf numFmtId="164" fontId="4" fillId="0" borderId="0" xfId="0" applyNumberFormat="1" applyFont="1"/>
    <xf numFmtId="9" fontId="4" fillId="0" borderId="0" xfId="0" applyNumberFormat="1" applyFont="1"/>
    <xf numFmtId="0" fontId="3" fillId="0" borderId="0" xfId="0" applyFont="1" applyAlignment="1">
      <alignment horizontal="right"/>
    </xf>
    <xf numFmtId="165" fontId="4" fillId="5" borderId="0" xfId="0" applyNumberFormat="1" applyFont="1" applyFill="1"/>
    <xf numFmtId="165" fontId="3" fillId="0" borderId="0" xfId="0" applyNumberFormat="1" applyFont="1"/>
    <xf numFmtId="10" fontId="5" fillId="5" borderId="0" xfId="0" applyNumberFormat="1" applyFont="1" applyFill="1"/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165" fontId="2" fillId="0" borderId="0" xfId="0" applyNumberFormat="1" applyFont="1"/>
    <xf numFmtId="0" fontId="6" fillId="6" borderId="0" xfId="0" applyFont="1" applyFill="1"/>
    <xf numFmtId="164" fontId="3" fillId="5" borderId="0" xfId="0" applyNumberFormat="1" applyFont="1" applyFill="1"/>
    <xf numFmtId="6" fontId="3" fillId="0" borderId="0" xfId="0" applyNumberFormat="1" applyFont="1"/>
    <xf numFmtId="6" fontId="2" fillId="0" borderId="0" xfId="0" applyNumberFormat="1" applyFont="1"/>
    <xf numFmtId="10" fontId="3" fillId="0" borderId="0" xfId="0" applyNumberFormat="1" applyFont="1"/>
    <xf numFmtId="0" fontId="7" fillId="2" borderId="0" xfId="0" applyFont="1" applyFill="1"/>
    <xf numFmtId="6" fontId="7" fillId="2" borderId="0" xfId="0" applyNumberFormat="1" applyFont="1" applyFill="1"/>
    <xf numFmtId="164" fontId="7" fillId="2" borderId="0" xfId="0" applyNumberFormat="1" applyFont="1" applyFill="1"/>
    <xf numFmtId="165" fontId="7" fillId="2" borderId="0" xfId="0" applyNumberFormat="1" applyFont="1" applyFill="1"/>
    <xf numFmtId="9" fontId="3" fillId="0" borderId="0" xfId="0" applyNumberFormat="1" applyFont="1"/>
    <xf numFmtId="9" fontId="2" fillId="0" borderId="0" xfId="0" applyNumberFormat="1" applyFont="1"/>
    <xf numFmtId="9" fontId="0" fillId="0" borderId="1" xfId="0" applyNumberFormat="1" applyBorder="1"/>
    <xf numFmtId="1" fontId="0" fillId="0" borderId="1" xfId="0" applyNumberFormat="1" applyBorder="1"/>
    <xf numFmtId="0" fontId="0" fillId="7" borderId="7" xfId="0" applyFill="1" applyBorder="1"/>
    <xf numFmtId="0" fontId="0" fillId="7" borderId="1" xfId="0" applyFill="1" applyBorder="1"/>
    <xf numFmtId="1" fontId="0" fillId="3" borderId="1" xfId="0" applyNumberFormat="1" applyFill="1" applyBorder="1"/>
    <xf numFmtId="166" fontId="0" fillId="0" borderId="1" xfId="0" applyNumberFormat="1" applyBorder="1"/>
    <xf numFmtId="166" fontId="0" fillId="0" borderId="0" xfId="0" applyNumberFormat="1"/>
    <xf numFmtId="166" fontId="0" fillId="0" borderId="6" xfId="0" applyNumberFormat="1" applyBorder="1"/>
    <xf numFmtId="166" fontId="0" fillId="4" borderId="1" xfId="0" applyNumberFormat="1" applyFill="1" applyBorder="1"/>
    <xf numFmtId="0" fontId="0" fillId="8" borderId="7" xfId="0" applyFill="1" applyBorder="1"/>
    <xf numFmtId="0" fontId="0" fillId="8" borderId="1" xfId="0" applyFill="1" applyBorder="1"/>
    <xf numFmtId="166" fontId="0" fillId="4" borderId="0" xfId="0" applyNumberFormat="1" applyFill="1"/>
    <xf numFmtId="0" fontId="0" fillId="0" borderId="0" xfId="0" applyAlignment="1">
      <alignment horizontal="left" indent="1"/>
    </xf>
    <xf numFmtId="1" fontId="4" fillId="0" borderId="0" xfId="0" applyNumberFormat="1" applyFont="1"/>
    <xf numFmtId="164" fontId="1" fillId="5" borderId="0" xfId="0" applyNumberFormat="1" applyFont="1" applyFill="1"/>
    <xf numFmtId="6" fontId="8" fillId="5" borderId="0" xfId="0" applyNumberFormat="1" applyFont="1" applyFill="1"/>
    <xf numFmtId="6" fontId="1" fillId="5" borderId="0" xfId="0" applyNumberFormat="1" applyFont="1" applyFill="1"/>
    <xf numFmtId="0" fontId="8" fillId="7" borderId="0" xfId="0" applyFont="1" applyFill="1"/>
    <xf numFmtId="0" fontId="0" fillId="2" borderId="1" xfId="0" applyFill="1" applyBorder="1"/>
    <xf numFmtId="0" fontId="1" fillId="9" borderId="1" xfId="0" applyFont="1" applyFill="1" applyBorder="1"/>
    <xf numFmtId="0" fontId="1" fillId="7" borderId="0" xfId="0" applyFont="1" applyFill="1"/>
    <xf numFmtId="6" fontId="0" fillId="0" borderId="0" xfId="0" applyNumberFormat="1"/>
    <xf numFmtId="164" fontId="0" fillId="0" borderId="1" xfId="0" applyNumberFormat="1" applyBorder="1"/>
    <xf numFmtId="0" fontId="1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3" fillId="0" borderId="1" xfId="0" applyNumberFormat="1" applyFont="1" applyBorder="1"/>
    <xf numFmtId="165" fontId="3" fillId="0" borderId="1" xfId="0" applyNumberFormat="1" applyFont="1" applyBorder="1"/>
    <xf numFmtId="0" fontId="1" fillId="0" borderId="1" xfId="0" applyFont="1" applyBorder="1" applyAlignment="1">
      <alignment horizontal="left" indent="1"/>
    </xf>
    <xf numFmtId="164" fontId="1" fillId="0" borderId="1" xfId="0" applyNumberFormat="1" applyFont="1" applyBorder="1"/>
    <xf numFmtId="165" fontId="1" fillId="0" borderId="1" xfId="0" applyNumberFormat="1" applyFont="1" applyBorder="1"/>
    <xf numFmtId="0" fontId="6" fillId="2" borderId="0" xfId="0" applyFont="1" applyFill="1"/>
    <xf numFmtId="0" fontId="7" fillId="2" borderId="6" xfId="0" applyFont="1" applyFill="1" applyBorder="1" applyAlignment="1">
      <alignment horizontal="left" indent="1"/>
    </xf>
    <xf numFmtId="0" fontId="7" fillId="2" borderId="6" xfId="0" applyFont="1" applyFill="1" applyBorder="1" applyAlignment="1">
      <alignment horizontal="right"/>
    </xf>
    <xf numFmtId="165" fontId="1" fillId="0" borderId="6" xfId="0" applyNumberFormat="1" applyFont="1" applyBorder="1"/>
    <xf numFmtId="0" fontId="7" fillId="2" borderId="1" xfId="0" applyFont="1" applyFill="1" applyBorder="1" applyAlignment="1">
      <alignment horizontal="left" inden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165" fontId="1" fillId="0" borderId="0" xfId="0" applyNumberFormat="1" applyFont="1"/>
    <xf numFmtId="3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4" xfId="0" applyFont="1" applyFill="1" applyBorder="1"/>
    <xf numFmtId="0" fontId="1" fillId="3" borderId="0" xfId="0" applyFont="1" applyFill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5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164" fontId="6" fillId="6" borderId="0" xfId="0" applyNumberFormat="1" applyFont="1" applyFill="1"/>
    <xf numFmtId="0" fontId="4" fillId="4" borderId="0" xfId="0" applyFont="1" applyFill="1"/>
    <xf numFmtId="0" fontId="0" fillId="0" borderId="0" xfId="0" applyAlignment="1">
      <alignment horizontal="left"/>
    </xf>
    <xf numFmtId="164" fontId="0" fillId="0" borderId="0" xfId="0" applyNumberFormat="1"/>
    <xf numFmtId="0" fontId="1" fillId="3" borderId="2" xfId="0" applyFont="1" applyFill="1" applyBorder="1"/>
    <xf numFmtId="0" fontId="5" fillId="4" borderId="0" xfId="0" applyFont="1" applyFill="1"/>
    <xf numFmtId="0" fontId="3" fillId="10" borderId="1" xfId="0" applyFont="1" applyFill="1" applyBorder="1" applyAlignment="1">
      <alignment horizontal="left" indent="1"/>
    </xf>
    <xf numFmtId="0" fontId="0" fillId="10" borderId="1" xfId="0" applyFill="1" applyBorder="1" applyAlignment="1">
      <alignment horizontal="left" indent="1"/>
    </xf>
    <xf numFmtId="0" fontId="0" fillId="11" borderId="1" xfId="0" applyFill="1" applyBorder="1" applyAlignment="1">
      <alignment horizontal="left" indent="1"/>
    </xf>
    <xf numFmtId="0" fontId="3" fillId="11" borderId="1" xfId="0" applyFont="1" applyFill="1" applyBorder="1" applyAlignment="1">
      <alignment horizontal="left" indent="1"/>
    </xf>
    <xf numFmtId="0" fontId="3" fillId="12" borderId="1" xfId="0" applyFont="1" applyFill="1" applyBorder="1" applyAlignment="1">
      <alignment horizontal="left" indent="1"/>
    </xf>
    <xf numFmtId="0" fontId="0" fillId="12" borderId="1" xfId="0" applyFill="1" applyBorder="1" applyAlignment="1">
      <alignment horizontal="left" indent="1"/>
    </xf>
    <xf numFmtId="164" fontId="3" fillId="12" borderId="1" xfId="0" applyNumberFormat="1" applyFont="1" applyFill="1" applyBorder="1"/>
    <xf numFmtId="165" fontId="1" fillId="0" borderId="1" xfId="0" applyNumberFormat="1" applyFont="1" applyBorder="1" applyAlignment="1">
      <alignment horizontal="right"/>
    </xf>
    <xf numFmtId="0" fontId="0" fillId="0" borderId="1" xfId="0" quotePrefix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left" indent="1"/>
    </xf>
    <xf numFmtId="1" fontId="0" fillId="5" borderId="1" xfId="0" applyNumberFormat="1" applyFill="1" applyBorder="1"/>
    <xf numFmtId="6" fontId="3" fillId="5" borderId="0" xfId="0" applyNumberFormat="1" applyFont="1" applyFill="1"/>
    <xf numFmtId="164" fontId="3" fillId="6" borderId="0" xfId="0" applyNumberFormat="1" applyFont="1" applyFill="1"/>
    <xf numFmtId="164" fontId="1" fillId="10" borderId="1" xfId="0" applyNumberFormat="1" applyFont="1" applyFill="1" applyBorder="1"/>
    <xf numFmtId="6" fontId="0" fillId="0" borderId="0" xfId="0" applyNumberFormat="1" applyFont="1"/>
    <xf numFmtId="164" fontId="1" fillId="12" borderId="1" xfId="0" applyNumberFormat="1" applyFont="1" applyFill="1" applyBorder="1"/>
    <xf numFmtId="164" fontId="1" fillId="11" borderId="1" xfId="0" applyNumberFormat="1" applyFont="1" applyFill="1" applyBorder="1"/>
    <xf numFmtId="0" fontId="0" fillId="0" borderId="1" xfId="0" applyFont="1" applyBorder="1" applyAlignment="1">
      <alignment horizontal="left" indent="1"/>
    </xf>
    <xf numFmtId="6" fontId="1" fillId="0" borderId="0" xfId="0" applyNumberFormat="1" applyFont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"/>
  <sheetViews>
    <sheetView workbookViewId="0">
      <selection activeCell="B27" sqref="B27"/>
    </sheetView>
  </sheetViews>
  <sheetFormatPr defaultRowHeight="15" x14ac:dyDescent="0.25"/>
  <sheetData>
    <row r="1" spans="1:6" x14ac:dyDescent="0.25">
      <c r="A1" s="17" t="s">
        <v>0</v>
      </c>
      <c r="B1" s="17" t="s">
        <v>93</v>
      </c>
      <c r="C1" s="17" t="s">
        <v>111</v>
      </c>
      <c r="D1" s="98" t="s">
        <v>31</v>
      </c>
    </row>
    <row r="2" spans="1:6" x14ac:dyDescent="0.25">
      <c r="A2" s="3" t="s">
        <v>6</v>
      </c>
      <c r="B2" s="3">
        <v>69</v>
      </c>
      <c r="C2" s="66">
        <f>'2019 April HT Budget'!B2</f>
        <v>95</v>
      </c>
    </row>
    <row r="3" spans="1:6" x14ac:dyDescent="0.25">
      <c r="A3" s="3" t="s">
        <v>6</v>
      </c>
      <c r="B3" s="3">
        <v>74</v>
      </c>
      <c r="C3" s="66">
        <v>95</v>
      </c>
      <c r="D3">
        <f>SUM(B2:B3)</f>
        <v>143</v>
      </c>
    </row>
    <row r="4" spans="1:6" x14ac:dyDescent="0.25">
      <c r="A4" s="3" t="s">
        <v>11</v>
      </c>
      <c r="B4" s="3">
        <v>18</v>
      </c>
      <c r="C4" s="66">
        <v>90</v>
      </c>
    </row>
    <row r="5" spans="1:6" x14ac:dyDescent="0.25">
      <c r="A5" s="3" t="s">
        <v>11</v>
      </c>
      <c r="B5" s="3">
        <v>14</v>
      </c>
      <c r="C5" s="66">
        <v>90</v>
      </c>
      <c r="D5">
        <f>SUM(B4:B5)</f>
        <v>32</v>
      </c>
    </row>
    <row r="6" spans="1:6" x14ac:dyDescent="0.25">
      <c r="A6" s="3" t="s">
        <v>12</v>
      </c>
      <c r="B6" s="108">
        <v>44</v>
      </c>
      <c r="C6" s="66">
        <f>'2019 April HT Budget'!B4</f>
        <v>85</v>
      </c>
    </row>
    <row r="7" spans="1:6" x14ac:dyDescent="0.25">
      <c r="A7" s="3" t="s">
        <v>12</v>
      </c>
      <c r="B7" s="3">
        <v>41</v>
      </c>
      <c r="C7" s="66">
        <v>85</v>
      </c>
      <c r="D7">
        <f>SUM(B6:B7)</f>
        <v>85</v>
      </c>
    </row>
    <row r="8" spans="1:6" x14ac:dyDescent="0.25">
      <c r="C8" s="97"/>
    </row>
    <row r="9" spans="1:6" x14ac:dyDescent="0.25">
      <c r="A9" s="17" t="s">
        <v>83</v>
      </c>
      <c r="B9" s="3">
        <f>COUNTIF(B2:B3,"&gt;0")*2+COUNTIF(B4:B7,"&gt;0")</f>
        <v>8</v>
      </c>
      <c r="C9" s="97"/>
    </row>
    <row r="11" spans="1:6" x14ac:dyDescent="0.25">
      <c r="A11" s="17" t="s">
        <v>94</v>
      </c>
      <c r="B11" s="17" t="s">
        <v>43</v>
      </c>
      <c r="C11" s="17" t="s">
        <v>44</v>
      </c>
      <c r="D11" s="17" t="s">
        <v>45</v>
      </c>
      <c r="E11" s="17" t="s">
        <v>95</v>
      </c>
      <c r="F11" s="17" t="s">
        <v>123</v>
      </c>
    </row>
    <row r="12" spans="1:6" x14ac:dyDescent="0.25">
      <c r="A12" s="3" t="s">
        <v>6</v>
      </c>
      <c r="B12" s="44">
        <v>1</v>
      </c>
      <c r="C12" s="44">
        <v>0.85</v>
      </c>
      <c r="D12" s="44">
        <v>0.75</v>
      </c>
      <c r="E12" s="44">
        <v>0.7</v>
      </c>
      <c r="F12" s="112">
        <v>73</v>
      </c>
    </row>
    <row r="13" spans="1:6" x14ac:dyDescent="0.25">
      <c r="A13" s="3" t="s">
        <v>11</v>
      </c>
      <c r="B13" s="44">
        <v>1</v>
      </c>
      <c r="C13" s="44">
        <v>0.75</v>
      </c>
      <c r="D13" s="3"/>
      <c r="E13" s="44">
        <v>0.7</v>
      </c>
      <c r="F13" s="112">
        <v>12</v>
      </c>
    </row>
    <row r="14" spans="1:6" x14ac:dyDescent="0.25">
      <c r="A14" s="3" t="s">
        <v>12</v>
      </c>
      <c r="B14" s="44">
        <v>1</v>
      </c>
      <c r="C14" s="44">
        <v>0.95</v>
      </c>
      <c r="D14" s="3"/>
      <c r="E14" s="44">
        <v>0.9</v>
      </c>
      <c r="F14" s="112">
        <v>66</v>
      </c>
    </row>
    <row r="16" spans="1:6" x14ac:dyDescent="0.25">
      <c r="A16" s="17" t="s">
        <v>98</v>
      </c>
      <c r="B16" s="17"/>
      <c r="C16" s="45">
        <v>4</v>
      </c>
    </row>
    <row r="18" spans="1:8" x14ac:dyDescent="0.25">
      <c r="A18" s="63" t="s">
        <v>18</v>
      </c>
      <c r="B18" s="63" t="s">
        <v>103</v>
      </c>
      <c r="C18" s="63" t="s">
        <v>7</v>
      </c>
      <c r="D18" s="63" t="s">
        <v>1</v>
      </c>
      <c r="E18" s="63" t="s">
        <v>2</v>
      </c>
      <c r="F18" s="63" t="s">
        <v>3</v>
      </c>
    </row>
    <row r="19" spans="1:8" x14ac:dyDescent="0.25">
      <c r="A19" s="3" t="s">
        <v>6</v>
      </c>
      <c r="B19" s="3">
        <v>12</v>
      </c>
      <c r="C19" s="3">
        <f>COUNTIF(B2:B3,"&gt;0")</f>
        <v>2</v>
      </c>
      <c r="D19" s="3">
        <f>B19*C19</f>
        <v>24</v>
      </c>
      <c r="E19" s="3">
        <f>B19*C19</f>
        <v>24</v>
      </c>
      <c r="F19" s="3">
        <f>B19*C19</f>
        <v>24</v>
      </c>
    </row>
    <row r="20" spans="1:8" x14ac:dyDescent="0.25">
      <c r="A20" s="3" t="s">
        <v>11</v>
      </c>
      <c r="B20" s="3">
        <v>9</v>
      </c>
      <c r="C20" s="3">
        <f>COUNTIF(B4:B5,"&gt;0")</f>
        <v>2</v>
      </c>
      <c r="D20" s="3">
        <v>0</v>
      </c>
      <c r="E20" s="62" t="s">
        <v>79</v>
      </c>
      <c r="F20" s="3">
        <f>B20*C20</f>
        <v>18</v>
      </c>
    </row>
    <row r="21" spans="1:8" x14ac:dyDescent="0.25">
      <c r="A21" s="3" t="s">
        <v>12</v>
      </c>
      <c r="B21" s="3">
        <v>8</v>
      </c>
      <c r="C21" s="3">
        <f>COUNTIF(B6:B7,"&gt;0")</f>
        <v>2</v>
      </c>
      <c r="D21" s="3">
        <v>0</v>
      </c>
      <c r="E21" s="3">
        <f>B21*C21</f>
        <v>16</v>
      </c>
      <c r="F21" s="62" t="s">
        <v>79</v>
      </c>
    </row>
    <row r="22" spans="1:8" x14ac:dyDescent="0.25">
      <c r="A22" s="3" t="s">
        <v>5</v>
      </c>
      <c r="B22" s="3">
        <v>10</v>
      </c>
      <c r="C22" s="3">
        <v>1</v>
      </c>
      <c r="D22" s="3">
        <v>0</v>
      </c>
      <c r="E22" s="3">
        <f>B22*C22</f>
        <v>10</v>
      </c>
      <c r="F22" s="3">
        <f>B22*C22</f>
        <v>10</v>
      </c>
    </row>
    <row r="23" spans="1:8" x14ac:dyDescent="0.25">
      <c r="A23" s="62"/>
      <c r="B23" s="62"/>
      <c r="C23" s="62"/>
      <c r="D23" s="3">
        <f>SUM(D19:D22)</f>
        <v>24</v>
      </c>
      <c r="E23" s="3">
        <f t="shared" ref="E23:F23" si="0">SUM(E19:E22)</f>
        <v>50</v>
      </c>
      <c r="F23" s="3">
        <f t="shared" si="0"/>
        <v>52</v>
      </c>
    </row>
    <row r="25" spans="1:8" x14ac:dyDescent="0.25">
      <c r="A25" s="17" t="s">
        <v>106</v>
      </c>
      <c r="B25" s="17" t="s">
        <v>108</v>
      </c>
      <c r="C25" s="17" t="s">
        <v>109</v>
      </c>
      <c r="D25" s="17" t="s">
        <v>110</v>
      </c>
      <c r="E25" s="17"/>
      <c r="F25" s="17" t="s">
        <v>108</v>
      </c>
      <c r="G25" s="17" t="s">
        <v>109</v>
      </c>
      <c r="H25" s="17" t="s">
        <v>110</v>
      </c>
    </row>
    <row r="26" spans="1:8" x14ac:dyDescent="0.25">
      <c r="A26" s="3" t="s">
        <v>18</v>
      </c>
      <c r="B26" s="3">
        <f>SUM(E19:F19)</f>
        <v>48</v>
      </c>
      <c r="C26" s="3">
        <f>SUM(E20:F20)</f>
        <v>18</v>
      </c>
      <c r="D26" s="3">
        <f>SUM(E21:F21)</f>
        <v>16</v>
      </c>
      <c r="E26" s="3">
        <f>SUM(B26:D26)</f>
        <v>82</v>
      </c>
      <c r="F26" s="3">
        <f>B26/E26</f>
        <v>0.58536585365853655</v>
      </c>
      <c r="G26" s="3">
        <f>C26/E26</f>
        <v>0.21951219512195122</v>
      </c>
      <c r="H26" s="3">
        <f>D26/E26</f>
        <v>0.1951219512195122</v>
      </c>
    </row>
    <row r="27" spans="1:8" x14ac:dyDescent="0.25">
      <c r="A27" s="3" t="s">
        <v>0</v>
      </c>
      <c r="B27" s="3">
        <f>D3</f>
        <v>143</v>
      </c>
      <c r="C27" s="3">
        <f>D5</f>
        <v>32</v>
      </c>
      <c r="D27" s="3">
        <f>D7</f>
        <v>85</v>
      </c>
      <c r="E27" s="3">
        <f t="shared" ref="E27:E35" si="1">SUM(B27:D27)</f>
        <v>260</v>
      </c>
      <c r="F27" s="3">
        <f t="shared" ref="F27:F35" si="2">B27/E27</f>
        <v>0.55000000000000004</v>
      </c>
      <c r="G27" s="3">
        <f t="shared" ref="G27:G35" si="3">C27/E27</f>
        <v>0.12307692307692308</v>
      </c>
      <c r="H27" s="3">
        <f t="shared" ref="H27:H35" si="4">D27/E27</f>
        <v>0.32692307692307693</v>
      </c>
    </row>
    <row r="28" spans="1:8" x14ac:dyDescent="0.25">
      <c r="A28" s="3" t="s">
        <v>107</v>
      </c>
      <c r="B28" s="66">
        <f>B2*C2+B3*C3</f>
        <v>13585</v>
      </c>
      <c r="C28" s="66">
        <f>B4*C4+B5*C5</f>
        <v>2880</v>
      </c>
      <c r="D28" s="66">
        <f>B6*C6+B7*C7</f>
        <v>7225</v>
      </c>
      <c r="E28" s="3">
        <f t="shared" si="1"/>
        <v>23690</v>
      </c>
      <c r="F28" s="3">
        <f t="shared" si="2"/>
        <v>0.57344871253693541</v>
      </c>
      <c r="G28" s="3">
        <f t="shared" si="3"/>
        <v>0.12157028281975517</v>
      </c>
      <c r="H28" s="3">
        <f t="shared" si="4"/>
        <v>0.30498100464330941</v>
      </c>
    </row>
    <row r="29" spans="1:8" x14ac:dyDescent="0.25">
      <c r="A29" s="3" t="s">
        <v>4</v>
      </c>
      <c r="B29" s="3">
        <v>3</v>
      </c>
      <c r="C29" s="3">
        <v>1</v>
      </c>
      <c r="D29" s="3">
        <v>1</v>
      </c>
      <c r="E29" s="3">
        <f t="shared" si="1"/>
        <v>5</v>
      </c>
      <c r="F29" s="3">
        <f t="shared" si="2"/>
        <v>0.6</v>
      </c>
      <c r="G29" s="3">
        <f t="shared" si="3"/>
        <v>0.2</v>
      </c>
      <c r="H29" s="3">
        <f t="shared" si="4"/>
        <v>0.2</v>
      </c>
    </row>
    <row r="30" spans="1:8" x14ac:dyDescent="0.25">
      <c r="A30" s="3" t="s">
        <v>72</v>
      </c>
      <c r="B30" s="3">
        <f>SUM('Bird Calculations'!D22:D23)+SUM('Bird Calculations'!F22:F23)</f>
        <v>215</v>
      </c>
      <c r="C30" s="3">
        <f>SUM('Bird Calculations'!L24:L25)</f>
        <v>36</v>
      </c>
      <c r="D30" s="3">
        <v>0</v>
      </c>
      <c r="E30" s="3">
        <f t="shared" si="1"/>
        <v>251</v>
      </c>
      <c r="F30" s="3">
        <f t="shared" si="2"/>
        <v>0.85657370517928288</v>
      </c>
      <c r="G30" s="3">
        <f t="shared" si="3"/>
        <v>0.14342629482071714</v>
      </c>
      <c r="H30" s="3">
        <f t="shared" si="4"/>
        <v>0</v>
      </c>
    </row>
    <row r="31" spans="1:8" x14ac:dyDescent="0.25">
      <c r="A31" s="3" t="s">
        <v>117</v>
      </c>
      <c r="B31" s="3">
        <v>73</v>
      </c>
      <c r="C31" s="3">
        <v>12</v>
      </c>
      <c r="D31" s="3">
        <f>ROUNDUP(D7*E14,0)</f>
        <v>77</v>
      </c>
      <c r="E31" s="3">
        <f t="shared" si="1"/>
        <v>162</v>
      </c>
      <c r="F31" s="3">
        <f t="shared" si="2"/>
        <v>0.45061728395061729</v>
      </c>
      <c r="G31" s="3">
        <f t="shared" si="3"/>
        <v>7.407407407407407E-2</v>
      </c>
      <c r="H31" s="3">
        <f t="shared" si="4"/>
        <v>0.47530864197530864</v>
      </c>
    </row>
    <row r="32" spans="1:8" x14ac:dyDescent="0.25">
      <c r="A32" s="3" t="s">
        <v>46</v>
      </c>
      <c r="B32" s="3">
        <v>9</v>
      </c>
      <c r="C32" s="3">
        <v>5</v>
      </c>
      <c r="D32" s="3">
        <v>4</v>
      </c>
      <c r="E32" s="3">
        <f t="shared" si="1"/>
        <v>18</v>
      </c>
      <c r="F32" s="3">
        <f t="shared" si="2"/>
        <v>0.5</v>
      </c>
      <c r="G32" s="3">
        <f t="shared" si="3"/>
        <v>0.27777777777777779</v>
      </c>
      <c r="H32" s="3">
        <f t="shared" si="4"/>
        <v>0.22222222222222221</v>
      </c>
    </row>
    <row r="33" spans="1:8" x14ac:dyDescent="0.25">
      <c r="A33" s="3" t="s">
        <v>116</v>
      </c>
      <c r="B33" s="3">
        <v>1</v>
      </c>
      <c r="C33" s="3">
        <v>1</v>
      </c>
      <c r="D33" s="3">
        <v>1</v>
      </c>
      <c r="E33" s="3">
        <f t="shared" si="1"/>
        <v>3</v>
      </c>
      <c r="F33" s="3">
        <f t="shared" si="2"/>
        <v>0.33333333333333331</v>
      </c>
      <c r="G33" s="3">
        <f t="shared" si="3"/>
        <v>0.33333333333333331</v>
      </c>
      <c r="H33" s="3">
        <f t="shared" si="4"/>
        <v>0.33333333333333331</v>
      </c>
    </row>
    <row r="34" spans="1:8" x14ac:dyDescent="0.25">
      <c r="A34" s="3" t="s">
        <v>83</v>
      </c>
      <c r="B34" s="3">
        <f>COUNTIF(B2:B3,"&gt;0")*2*B29</f>
        <v>12</v>
      </c>
      <c r="C34" s="3">
        <f>COUNTIF(B4:B5,"&gt;0")*2*C29</f>
        <v>4</v>
      </c>
      <c r="D34" s="3">
        <f>COUNTIF(B6:B7,"&gt;0")*2*D29</f>
        <v>4</v>
      </c>
      <c r="E34" s="3">
        <f t="shared" si="1"/>
        <v>20</v>
      </c>
      <c r="F34" s="3">
        <f t="shared" si="2"/>
        <v>0.6</v>
      </c>
      <c r="G34" s="3">
        <f t="shared" si="3"/>
        <v>0.2</v>
      </c>
      <c r="H34" s="3">
        <f t="shared" si="4"/>
        <v>0.2</v>
      </c>
    </row>
    <row r="35" spans="1:8" x14ac:dyDescent="0.25">
      <c r="A35" s="3" t="s">
        <v>8</v>
      </c>
      <c r="B35" s="3">
        <f>SUM('Bird Calculations'!D22:D23)</f>
        <v>155</v>
      </c>
      <c r="C35" s="3">
        <f>SUM('Bird Calculations'!L24:L25)</f>
        <v>36</v>
      </c>
      <c r="D35" s="3">
        <v>0</v>
      </c>
      <c r="E35" s="3">
        <f t="shared" si="1"/>
        <v>191</v>
      </c>
      <c r="F35" s="3">
        <f t="shared" si="2"/>
        <v>0.81151832460732987</v>
      </c>
      <c r="G35" s="3">
        <f t="shared" si="3"/>
        <v>0.18848167539267016</v>
      </c>
      <c r="H35" s="3">
        <f t="shared" si="4"/>
        <v>0</v>
      </c>
    </row>
  </sheetData>
  <pageMargins left="0.7" right="0.7" top="0.75" bottom="0.75" header="0.3" footer="0.3"/>
  <pageSetup orientation="portrait" horizontalDpi="300" verticalDpi="300" r:id="rId1"/>
  <ignoredErrors>
    <ignoredError sqref="C19:C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6"/>
  <sheetViews>
    <sheetView topLeftCell="A34" workbookViewId="0">
      <selection activeCell="C65" sqref="C65"/>
    </sheetView>
  </sheetViews>
  <sheetFormatPr defaultRowHeight="15" x14ac:dyDescent="0.25"/>
  <cols>
    <col min="1" max="1" width="21.7109375" style="19" customWidth="1"/>
    <col min="2" max="4" width="9.140625" style="19"/>
    <col min="5" max="5" width="13.85546875" style="19" customWidth="1"/>
    <col min="6" max="6" width="7.140625" style="19" customWidth="1"/>
    <col min="7" max="8" width="9.140625" style="19"/>
    <col min="9" max="9" width="11.42578125" style="19" customWidth="1"/>
    <col min="10" max="16384" width="9.140625" style="19"/>
  </cols>
  <sheetData>
    <row r="1" spans="1:23" x14ac:dyDescent="0.25">
      <c r="A1" s="18" t="s">
        <v>38</v>
      </c>
    </row>
    <row r="2" spans="1:23" x14ac:dyDescent="0.25">
      <c r="A2" s="20" t="s">
        <v>6</v>
      </c>
      <c r="B2" s="94">
        <v>95</v>
      </c>
    </row>
    <row r="3" spans="1:23" x14ac:dyDescent="0.25">
      <c r="A3" s="20" t="s">
        <v>11</v>
      </c>
      <c r="B3" s="94">
        <v>90</v>
      </c>
    </row>
    <row r="4" spans="1:23" x14ac:dyDescent="0.25">
      <c r="A4" s="20" t="s">
        <v>12</v>
      </c>
      <c r="B4" s="94">
        <v>85</v>
      </c>
    </row>
    <row r="5" spans="1:23" x14ac:dyDescent="0.25">
      <c r="A5" s="22" t="s">
        <v>5</v>
      </c>
      <c r="B5" s="21"/>
    </row>
    <row r="6" spans="1:23" x14ac:dyDescent="0.25">
      <c r="A6" s="20" t="s">
        <v>10</v>
      </c>
      <c r="B6" s="57">
        <f>Numbers!C16</f>
        <v>4</v>
      </c>
    </row>
    <row r="7" spans="1:23" x14ac:dyDescent="0.25">
      <c r="A7" s="20" t="s">
        <v>13</v>
      </c>
      <c r="B7" s="23">
        <v>12</v>
      </c>
    </row>
    <row r="8" spans="1:23" x14ac:dyDescent="0.25">
      <c r="A8" s="20" t="s">
        <v>14</v>
      </c>
      <c r="B8" s="23">
        <v>7</v>
      </c>
      <c r="P8" s="19">
        <v>13.25</v>
      </c>
    </row>
    <row r="9" spans="1:23" x14ac:dyDescent="0.25">
      <c r="A9" s="20" t="s">
        <v>70</v>
      </c>
      <c r="B9" s="23">
        <v>7.5</v>
      </c>
      <c r="P9" s="19">
        <v>350</v>
      </c>
      <c r="Q9" s="19">
        <f>P9*P8</f>
        <v>4637.5</v>
      </c>
    </row>
    <row r="10" spans="1:23" x14ac:dyDescent="0.25">
      <c r="A10" s="20" t="s">
        <v>16</v>
      </c>
      <c r="B10" s="23">
        <v>8</v>
      </c>
      <c r="P10" s="19">
        <v>150</v>
      </c>
      <c r="Q10" s="19">
        <f>P10+Q9</f>
        <v>4787.5</v>
      </c>
      <c r="R10" s="19">
        <f>Q10/P9</f>
        <v>13.678571428571429</v>
      </c>
      <c r="V10" s="19">
        <v>2000</v>
      </c>
    </row>
    <row r="11" spans="1:23" x14ac:dyDescent="0.25">
      <c r="A11" s="20" t="s">
        <v>17</v>
      </c>
      <c r="B11" s="23">
        <v>5</v>
      </c>
      <c r="V11" s="19">
        <v>14</v>
      </c>
      <c r="W11" s="19">
        <f>V10/V11</f>
        <v>142.85714285714286</v>
      </c>
    </row>
    <row r="12" spans="1:23" x14ac:dyDescent="0.25">
      <c r="A12" s="20" t="s">
        <v>8</v>
      </c>
      <c r="B12" s="23">
        <v>14</v>
      </c>
      <c r="C12" s="24">
        <v>10</v>
      </c>
    </row>
    <row r="13" spans="1:23" x14ac:dyDescent="0.25">
      <c r="A13" s="20" t="s">
        <v>73</v>
      </c>
      <c r="B13" s="25">
        <v>0.1</v>
      </c>
      <c r="C13" s="24"/>
    </row>
    <row r="14" spans="1:23" x14ac:dyDescent="0.25">
      <c r="A14" s="56" t="s">
        <v>122</v>
      </c>
      <c r="B14" s="25">
        <v>0.1</v>
      </c>
      <c r="C14" s="24"/>
    </row>
    <row r="15" spans="1:23" x14ac:dyDescent="0.25">
      <c r="A15" s="20" t="s">
        <v>48</v>
      </c>
      <c r="B15" s="95">
        <v>20</v>
      </c>
      <c r="C15" s="26" t="s">
        <v>88</v>
      </c>
    </row>
    <row r="16" spans="1:23" x14ac:dyDescent="0.25">
      <c r="A16" s="20" t="s">
        <v>49</v>
      </c>
      <c r="B16" s="24">
        <v>100</v>
      </c>
    </row>
    <row r="17" spans="1:6" x14ac:dyDescent="0.25">
      <c r="A17" s="20" t="s">
        <v>32</v>
      </c>
      <c r="B17" s="27">
        <f>C17*D17</f>
        <v>1.875</v>
      </c>
      <c r="C17" s="28">
        <v>2.5</v>
      </c>
      <c r="D17" s="19">
        <v>0.75</v>
      </c>
      <c r="F17" s="19" t="s">
        <v>50</v>
      </c>
    </row>
    <row r="18" spans="1:6" x14ac:dyDescent="0.25">
      <c r="A18" s="20" t="s">
        <v>74</v>
      </c>
      <c r="B18" s="29">
        <v>3.7499999999999999E-2</v>
      </c>
      <c r="C18" s="28"/>
    </row>
    <row r="19" spans="1:6" x14ac:dyDescent="0.25">
      <c r="A19" s="20" t="s">
        <v>75</v>
      </c>
      <c r="B19" s="27">
        <v>50</v>
      </c>
      <c r="C19" s="28"/>
    </row>
    <row r="20" spans="1:6" x14ac:dyDescent="0.25">
      <c r="A20" s="20" t="s">
        <v>33</v>
      </c>
      <c r="B20" s="27">
        <v>3.5</v>
      </c>
    </row>
    <row r="21" spans="1:6" x14ac:dyDescent="0.25">
      <c r="A21" s="96"/>
      <c r="B21" s="21"/>
    </row>
    <row r="22" spans="1:6" x14ac:dyDescent="0.25">
      <c r="A22" s="18" t="s">
        <v>39</v>
      </c>
    </row>
    <row r="23" spans="1:6" x14ac:dyDescent="0.25">
      <c r="A23" s="20" t="s">
        <v>6</v>
      </c>
      <c r="B23" s="21">
        <f>Numbers!B2*Numbers!C2+Numbers!B3*Numbers!C3</f>
        <v>13585</v>
      </c>
    </row>
    <row r="24" spans="1:6" x14ac:dyDescent="0.25">
      <c r="A24" s="56" t="s">
        <v>11</v>
      </c>
      <c r="B24" s="21">
        <f>Numbers!B4*Numbers!C4+Numbers!B5*Numbers!C5</f>
        <v>2880</v>
      </c>
    </row>
    <row r="25" spans="1:6" x14ac:dyDescent="0.25">
      <c r="A25" s="56" t="s">
        <v>12</v>
      </c>
      <c r="B25" s="21">
        <f>Numbers!B6*Numbers!C6+Numbers!B7*Numbers!C7</f>
        <v>7225</v>
      </c>
    </row>
    <row r="26" spans="1:6" s="18" customFormat="1" x14ac:dyDescent="0.25">
      <c r="A26" s="30" t="s">
        <v>31</v>
      </c>
      <c r="C26" s="31">
        <f>SUM(B23:B25)</f>
        <v>23690</v>
      </c>
      <c r="D26" s="19"/>
      <c r="E26" s="32">
        <f>(C26-D26)/C26</f>
        <v>1</v>
      </c>
    </row>
    <row r="27" spans="1:6" s="18" customFormat="1" x14ac:dyDescent="0.25">
      <c r="A27" s="30"/>
      <c r="C27" s="31"/>
      <c r="D27" s="31"/>
    </row>
    <row r="28" spans="1:6" x14ac:dyDescent="0.25">
      <c r="A28" s="18" t="s">
        <v>40</v>
      </c>
    </row>
    <row r="29" spans="1:6" x14ac:dyDescent="0.25">
      <c r="A29" s="20" t="s">
        <v>18</v>
      </c>
      <c r="B29" s="21">
        <v>80</v>
      </c>
    </row>
    <row r="30" spans="1:6" x14ac:dyDescent="0.25">
      <c r="A30" s="20" t="s">
        <v>15</v>
      </c>
      <c r="B30" s="58">
        <f>COUNTIF(Numbers!B2:B3,"&gt;0")*1000</f>
        <v>2000</v>
      </c>
    </row>
    <row r="31" spans="1:6" x14ac:dyDescent="0.25">
      <c r="A31" s="111" t="s">
        <v>128</v>
      </c>
      <c r="B31" s="21">
        <f>2*B46</f>
        <v>280</v>
      </c>
    </row>
    <row r="32" spans="1:6" x14ac:dyDescent="0.25">
      <c r="A32" s="20" t="s">
        <v>19</v>
      </c>
      <c r="B32" s="21">
        <f>B8*Ammo!F11*10</f>
        <v>195.99999999999997</v>
      </c>
    </row>
    <row r="33" spans="1:8" x14ac:dyDescent="0.25">
      <c r="A33" s="20" t="s">
        <v>9</v>
      </c>
      <c r="B33" s="21">
        <f>B7*Ammo!I5*10</f>
        <v>807.75405120000005</v>
      </c>
      <c r="F33" s="21"/>
    </row>
    <row r="34" spans="1:8" x14ac:dyDescent="0.25">
      <c r="A34" s="20" t="s">
        <v>17</v>
      </c>
      <c r="B34" s="21">
        <f>B11*SUM(Numbers!F12:F14)</f>
        <v>755</v>
      </c>
    </row>
    <row r="35" spans="1:8" x14ac:dyDescent="0.25">
      <c r="A35" s="20" t="s">
        <v>71</v>
      </c>
      <c r="B35" s="114">
        <v>100</v>
      </c>
    </row>
    <row r="36" spans="1:8" x14ac:dyDescent="0.25">
      <c r="A36" s="20" t="s">
        <v>21</v>
      </c>
      <c r="B36" s="58">
        <v>1403</v>
      </c>
      <c r="C36" s="64">
        <f>Numbers!E23+Numbers!F23</f>
        <v>102</v>
      </c>
    </row>
    <row r="37" spans="1:8" x14ac:dyDescent="0.25">
      <c r="A37" s="20" t="s">
        <v>72</v>
      </c>
      <c r="B37" s="58">
        <v>4375</v>
      </c>
      <c r="C37" s="61">
        <v>252</v>
      </c>
      <c r="F37" s="34"/>
    </row>
    <row r="38" spans="1:8" s="18" customFormat="1" x14ac:dyDescent="0.25">
      <c r="A38" s="30" t="s">
        <v>31</v>
      </c>
      <c r="B38" s="21"/>
      <c r="C38" s="31">
        <f>SUM(B30:B37)</f>
        <v>9916.7540511999996</v>
      </c>
    </row>
    <row r="39" spans="1:8" s="18" customFormat="1" x14ac:dyDescent="0.25">
      <c r="A39" s="30"/>
      <c r="B39" s="31"/>
      <c r="C39" s="31"/>
    </row>
    <row r="40" spans="1:8" x14ac:dyDescent="0.25">
      <c r="A40" s="18" t="s">
        <v>41</v>
      </c>
    </row>
    <row r="41" spans="1:8" x14ac:dyDescent="0.25">
      <c r="A41" s="20" t="s">
        <v>29</v>
      </c>
      <c r="B41" s="99">
        <f>Numbers!B9</f>
        <v>8</v>
      </c>
    </row>
    <row r="42" spans="1:8" x14ac:dyDescent="0.25">
      <c r="A42" s="20" t="s">
        <v>30</v>
      </c>
      <c r="B42" s="19">
        <v>2.5</v>
      </c>
    </row>
    <row r="43" spans="1:8" x14ac:dyDescent="0.25">
      <c r="A43" s="20" t="s">
        <v>27</v>
      </c>
      <c r="B43" s="35">
        <v>50</v>
      </c>
      <c r="C43" s="35"/>
    </row>
    <row r="44" spans="1:8" x14ac:dyDescent="0.25">
      <c r="A44" s="20" t="s">
        <v>28</v>
      </c>
      <c r="B44" s="35">
        <v>50</v>
      </c>
      <c r="C44" s="35"/>
    </row>
    <row r="45" spans="1:8" x14ac:dyDescent="0.25">
      <c r="A45" s="20" t="s">
        <v>20</v>
      </c>
      <c r="B45" s="35">
        <v>200</v>
      </c>
      <c r="C45" s="35">
        <f>'Judges Expenses'!D9</f>
        <v>3494.03</v>
      </c>
      <c r="F45" s="19" t="s">
        <v>89</v>
      </c>
      <c r="G45" s="19" t="s">
        <v>90</v>
      </c>
      <c r="H45" s="19" t="s">
        <v>31</v>
      </c>
    </row>
    <row r="46" spans="1:8" x14ac:dyDescent="0.25">
      <c r="A46" s="20" t="s">
        <v>26</v>
      </c>
      <c r="B46" s="35">
        <v>140</v>
      </c>
      <c r="C46" s="35">
        <f>B46*B41</f>
        <v>1120</v>
      </c>
      <c r="F46" s="19">
        <v>120</v>
      </c>
      <c r="G46" s="33">
        <v>0</v>
      </c>
      <c r="H46" s="19">
        <f>SUM(F46:G46)</f>
        <v>120</v>
      </c>
    </row>
    <row r="47" spans="1:8" x14ac:dyDescent="0.25">
      <c r="A47" s="56" t="s">
        <v>101</v>
      </c>
      <c r="B47" s="113">
        <v>0</v>
      </c>
      <c r="C47" s="35">
        <f>B47</f>
        <v>0</v>
      </c>
    </row>
    <row r="48" spans="1:8" s="18" customFormat="1" x14ac:dyDescent="0.25">
      <c r="A48" s="30" t="s">
        <v>31</v>
      </c>
      <c r="B48" s="36"/>
      <c r="C48" s="120">
        <f>SUM(C43:C47)</f>
        <v>4614.0300000000007</v>
      </c>
    </row>
    <row r="49" spans="1:5" s="18" customFormat="1" x14ac:dyDescent="0.25">
      <c r="A49" s="30"/>
      <c r="B49" s="19"/>
      <c r="C49" s="36"/>
    </row>
    <row r="50" spans="1:5" s="18" customFormat="1" x14ac:dyDescent="0.25">
      <c r="A50" s="22" t="s">
        <v>76</v>
      </c>
      <c r="B50" s="19"/>
      <c r="C50" s="36"/>
    </row>
    <row r="51" spans="1:5" x14ac:dyDescent="0.25">
      <c r="A51" s="20" t="s">
        <v>77</v>
      </c>
      <c r="B51" s="19">
        <v>0</v>
      </c>
      <c r="C51" s="35"/>
    </row>
    <row r="52" spans="1:5" x14ac:dyDescent="0.25">
      <c r="A52" s="20"/>
      <c r="C52" s="35"/>
    </row>
    <row r="53" spans="1:5" x14ac:dyDescent="0.25">
      <c r="A53" s="22" t="s">
        <v>42</v>
      </c>
      <c r="B53" s="35"/>
    </row>
    <row r="54" spans="1:5" x14ac:dyDescent="0.25">
      <c r="A54" s="20" t="s">
        <v>22</v>
      </c>
      <c r="B54" s="59">
        <v>750</v>
      </c>
    </row>
    <row r="55" spans="1:5" x14ac:dyDescent="0.25">
      <c r="A55" s="20" t="s">
        <v>36</v>
      </c>
      <c r="B55" s="60">
        <v>899.5</v>
      </c>
    </row>
    <row r="56" spans="1:5" x14ac:dyDescent="0.25">
      <c r="A56" s="20" t="s">
        <v>35</v>
      </c>
      <c r="B56" s="113">
        <v>38.92</v>
      </c>
      <c r="C56" s="65" t="s">
        <v>104</v>
      </c>
      <c r="D56" t="s">
        <v>105</v>
      </c>
    </row>
    <row r="57" spans="1:5" x14ac:dyDescent="0.25">
      <c r="A57" s="56" t="s">
        <v>80</v>
      </c>
      <c r="B57" s="60">
        <f>SUM(C57:E57)</f>
        <v>1423.19</v>
      </c>
      <c r="C57" s="116">
        <v>895.5</v>
      </c>
      <c r="D57" s="35">
        <v>475</v>
      </c>
      <c r="E57" s="65">
        <v>52.69</v>
      </c>
    </row>
    <row r="58" spans="1:5" x14ac:dyDescent="0.25">
      <c r="A58" s="20" t="s">
        <v>23</v>
      </c>
      <c r="B58" s="60">
        <v>25</v>
      </c>
    </row>
    <row r="59" spans="1:5" x14ac:dyDescent="0.25">
      <c r="A59" s="20" t="s">
        <v>24</v>
      </c>
      <c r="B59" s="60">
        <v>333.9</v>
      </c>
    </row>
    <row r="60" spans="1:5" x14ac:dyDescent="0.25">
      <c r="A60" s="20" t="s">
        <v>25</v>
      </c>
      <c r="B60" s="35">
        <v>0</v>
      </c>
    </row>
    <row r="61" spans="1:5" x14ac:dyDescent="0.25">
      <c r="A61" s="20" t="s">
        <v>78</v>
      </c>
      <c r="B61" s="60">
        <v>363</v>
      </c>
    </row>
    <row r="62" spans="1:5" x14ac:dyDescent="0.25">
      <c r="A62" s="20" t="s">
        <v>34</v>
      </c>
      <c r="B62" s="60">
        <f>'Misc Actuals'!D17</f>
        <v>343.9</v>
      </c>
      <c r="C62" s="35">
        <v>100</v>
      </c>
    </row>
    <row r="63" spans="1:5" x14ac:dyDescent="0.25">
      <c r="A63" s="20" t="s">
        <v>5</v>
      </c>
      <c r="B63" s="60">
        <f>'Misc Actuals'!D16</f>
        <v>574.73</v>
      </c>
      <c r="C63" s="35">
        <v>50</v>
      </c>
      <c r="D63" t="s">
        <v>124</v>
      </c>
    </row>
    <row r="64" spans="1:5" x14ac:dyDescent="0.25">
      <c r="A64" s="20" t="s">
        <v>73</v>
      </c>
      <c r="B64" s="60">
        <f>Scratches!B4</f>
        <v>475</v>
      </c>
      <c r="C64" s="37">
        <f>B64/C26</f>
        <v>2.0050654284508231E-2</v>
      </c>
    </row>
    <row r="65" spans="1:7" s="18" customFormat="1" x14ac:dyDescent="0.25">
      <c r="A65" s="30" t="s">
        <v>31</v>
      </c>
      <c r="C65" s="36">
        <f>SUM(B54:B64)</f>
        <v>5227.1399999999994</v>
      </c>
    </row>
    <row r="66" spans="1:7" s="18" customFormat="1" x14ac:dyDescent="0.25">
      <c r="A66" s="38" t="s">
        <v>47</v>
      </c>
      <c r="B66" s="38"/>
      <c r="C66" s="39"/>
      <c r="D66" s="40">
        <f>C26-C38-C48-C65+B51</f>
        <v>3932.0759488000003</v>
      </c>
      <c r="E66" s="18">
        <f>D66/C26</f>
        <v>0.16598041151540735</v>
      </c>
    </row>
    <row r="67" spans="1:7" x14ac:dyDescent="0.25">
      <c r="C67" s="39" t="s">
        <v>37</v>
      </c>
      <c r="D67" s="41">
        <f>D66/SUM(Numbers!D2:D7)</f>
        <v>15.123369033846155</v>
      </c>
    </row>
    <row r="71" spans="1:7" x14ac:dyDescent="0.25">
      <c r="E71" s="21">
        <f>C26</f>
        <v>23690</v>
      </c>
      <c r="G71" s="19" t="s">
        <v>47</v>
      </c>
    </row>
    <row r="72" spans="1:7" x14ac:dyDescent="0.25">
      <c r="E72" s="21">
        <f>C65+C48+C38</f>
        <v>19757.9240512</v>
      </c>
      <c r="F72" s="42">
        <f>E72/C26</f>
        <v>0.83401958848459268</v>
      </c>
      <c r="G72" s="19" t="s">
        <v>85</v>
      </c>
    </row>
    <row r="73" spans="1:7" x14ac:dyDescent="0.25">
      <c r="E73" s="21">
        <f>D66</f>
        <v>3932.0759488000003</v>
      </c>
      <c r="F73" s="42">
        <f>E73/C26</f>
        <v>0.16598041151540735</v>
      </c>
      <c r="G73" s="19" t="s">
        <v>81</v>
      </c>
    </row>
    <row r="74" spans="1:7" x14ac:dyDescent="0.25">
      <c r="E74" s="31" t="s">
        <v>86</v>
      </c>
      <c r="F74" s="43"/>
    </row>
    <row r="75" spans="1:7" x14ac:dyDescent="0.25">
      <c r="E75" s="19" t="s">
        <v>80</v>
      </c>
      <c r="F75" s="42">
        <f>B57/C26</f>
        <v>6.0075559307724784E-2</v>
      </c>
    </row>
    <row r="76" spans="1:7" x14ac:dyDescent="0.25">
      <c r="E76" s="19" t="s">
        <v>73</v>
      </c>
      <c r="F76" s="42">
        <f>B64/E72</f>
        <v>2.4040987239808263E-2</v>
      </c>
    </row>
    <row r="77" spans="1:7" x14ac:dyDescent="0.25">
      <c r="E77" s="19" t="s">
        <v>18</v>
      </c>
      <c r="F77" s="42">
        <f>B30/E72</f>
        <v>0.10122520943077164</v>
      </c>
    </row>
    <row r="78" spans="1:7" x14ac:dyDescent="0.25">
      <c r="E78" s="19" t="s">
        <v>21</v>
      </c>
      <c r="F78" s="42">
        <f>B36/E72</f>
        <v>7.1009484415686303E-2</v>
      </c>
    </row>
    <row r="79" spans="1:7" x14ac:dyDescent="0.25">
      <c r="E79" s="19" t="s">
        <v>82</v>
      </c>
      <c r="F79" s="42">
        <f>(B34+B35)/E72</f>
        <v>4.3273777031654873E-2</v>
      </c>
    </row>
    <row r="80" spans="1:7" x14ac:dyDescent="0.25">
      <c r="E80" s="19" t="s">
        <v>22</v>
      </c>
      <c r="F80" s="42">
        <f>B54/E72</f>
        <v>3.7959453536539366E-2</v>
      </c>
    </row>
    <row r="81" spans="5:6" x14ac:dyDescent="0.25">
      <c r="E81" s="19" t="s">
        <v>83</v>
      </c>
      <c r="F81" s="42">
        <f>C48/E72</f>
        <v>0.23352807653493166</v>
      </c>
    </row>
    <row r="82" spans="5:6" x14ac:dyDescent="0.25">
      <c r="E82" s="19" t="s">
        <v>34</v>
      </c>
      <c r="F82" s="42">
        <f>(B62+B59+B61)/E72</f>
        <v>5.2677598987773556E-2</v>
      </c>
    </row>
    <row r="83" spans="5:6" x14ac:dyDescent="0.25">
      <c r="E83" s="19" t="s">
        <v>87</v>
      </c>
      <c r="F83" s="42">
        <f>(B32+B33)/E72</f>
        <v>5.0802607024852744E-2</v>
      </c>
    </row>
    <row r="84" spans="5:6" x14ac:dyDescent="0.25">
      <c r="E84" s="19" t="s">
        <v>72</v>
      </c>
      <c r="F84" s="42">
        <f>B37/E72</f>
        <v>0.22143014562981297</v>
      </c>
    </row>
    <row r="85" spans="5:6" x14ac:dyDescent="0.25">
      <c r="E85" s="19" t="s">
        <v>84</v>
      </c>
      <c r="F85" s="42">
        <f>(B55+B56)/E72</f>
        <v>4.7495880517012361E-2</v>
      </c>
    </row>
    <row r="86" spans="5:6" x14ac:dyDescent="0.25">
      <c r="F86" s="42">
        <f>SUM(F75:F85)</f>
        <v>0.9435187796565685</v>
      </c>
    </row>
  </sheetData>
  <pageMargins left="0.7" right="0.7" top="0.75" bottom="0.75" header="0.3" footer="0.3"/>
  <pageSetup scale="7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9BECE-2E97-4D0E-8F14-6C5F3D16C3DB}">
  <dimension ref="A1:N32"/>
  <sheetViews>
    <sheetView tabSelected="1" workbookViewId="0">
      <selection activeCell="N17" sqref="N17"/>
    </sheetView>
  </sheetViews>
  <sheetFormatPr defaultRowHeight="15" x14ac:dyDescent="0.25"/>
  <cols>
    <col min="1" max="1" width="19.5703125" customWidth="1"/>
    <col min="2" max="2" width="10.7109375" customWidth="1"/>
    <col min="3" max="3" width="9.85546875" bestFit="1" customWidth="1"/>
    <col min="4" max="4" width="12.28515625" customWidth="1"/>
    <col min="5" max="5" width="11.28515625" customWidth="1"/>
    <col min="6" max="6" width="12" customWidth="1"/>
    <col min="7" max="7" width="11.85546875" customWidth="1"/>
  </cols>
  <sheetData>
    <row r="1" spans="1:14" x14ac:dyDescent="0.25">
      <c r="A1" s="85"/>
      <c r="B1" s="86"/>
      <c r="C1" s="87"/>
      <c r="D1" s="68" t="s">
        <v>108</v>
      </c>
      <c r="E1" s="67" t="s">
        <v>109</v>
      </c>
      <c r="F1" s="67" t="s">
        <v>110</v>
      </c>
      <c r="G1" s="19"/>
    </row>
    <row r="2" spans="1:14" x14ac:dyDescent="0.25">
      <c r="A2" s="88"/>
      <c r="B2" s="89"/>
      <c r="C2" s="92" t="s">
        <v>119</v>
      </c>
      <c r="D2" s="84">
        <f>Numbers!C2</f>
        <v>95</v>
      </c>
      <c r="E2" s="84">
        <f>Numbers!C4</f>
        <v>90</v>
      </c>
      <c r="F2" s="84">
        <f>Numbers!C6</f>
        <v>85</v>
      </c>
      <c r="G2" s="19"/>
    </row>
    <row r="3" spans="1:14" x14ac:dyDescent="0.25">
      <c r="A3" s="90"/>
      <c r="B3" s="91"/>
      <c r="C3" s="93" t="s">
        <v>120</v>
      </c>
      <c r="D3" s="83">
        <f>Numbers!D3</f>
        <v>143</v>
      </c>
      <c r="E3" s="67">
        <f>Numbers!D5</f>
        <v>32</v>
      </c>
      <c r="F3" s="67">
        <f>Numbers!D7</f>
        <v>85</v>
      </c>
      <c r="G3" s="19"/>
    </row>
    <row r="4" spans="1:14" x14ac:dyDescent="0.25">
      <c r="A4" s="104" t="s">
        <v>15</v>
      </c>
      <c r="B4" s="105" t="s">
        <v>18</v>
      </c>
      <c r="C4" s="117">
        <f>'2019 April HT Budget'!B30</f>
        <v>2000</v>
      </c>
      <c r="D4" s="71">
        <f>$C4*SUMIF(Numbers!$A$26:$A$35,MvsSvsJ!$B4,Numbers!F$26:F$35)</f>
        <v>1170.7317073170732</v>
      </c>
      <c r="E4" s="71">
        <f>$C4*SUMIF(Numbers!$A$26:$A$35,MvsSvsJ!$B4,Numbers!G$26:G$35)</f>
        <v>439.02439024390242</v>
      </c>
      <c r="F4" s="71">
        <f>$C4*SUMIF(Numbers!$A$26:$A$35,MvsSvsJ!$B4,Numbers!H$26:H$35)</f>
        <v>390.2439024390244</v>
      </c>
    </row>
    <row r="5" spans="1:14" x14ac:dyDescent="0.25">
      <c r="A5" s="104" t="s">
        <v>19</v>
      </c>
      <c r="B5" s="105" t="s">
        <v>8</v>
      </c>
      <c r="C5" s="106">
        <f>'2019 April HT Budget'!B32</f>
        <v>195.99999999999997</v>
      </c>
      <c r="D5" s="71">
        <f>$C5*SUMIF(Numbers!$A$26:$A$35,MvsSvsJ!$B5,Numbers!F$26:F$35)</f>
        <v>159.05759162303664</v>
      </c>
      <c r="E5" s="71">
        <f>$C5*SUMIF(Numbers!$A$26:$A$35,MvsSvsJ!$B5,Numbers!G$26:G$35)</f>
        <v>36.94240837696335</v>
      </c>
      <c r="F5" s="71">
        <f>$C5*SUMIF(Numbers!$A$26:$A$35,MvsSvsJ!$B5,Numbers!H$26:H$35)</f>
        <v>0</v>
      </c>
    </row>
    <row r="6" spans="1:14" x14ac:dyDescent="0.25">
      <c r="A6" s="104" t="s">
        <v>9</v>
      </c>
      <c r="B6" s="105" t="s">
        <v>46</v>
      </c>
      <c r="C6" s="106">
        <f>'2019 April HT Budget'!B33</f>
        <v>807.75405120000005</v>
      </c>
      <c r="D6" s="71">
        <f>$C6*SUMIF(Numbers!$A$26:$A$35,MvsSvsJ!$B6,Numbers!F$26:F$35)</f>
        <v>403.87702560000002</v>
      </c>
      <c r="E6" s="71">
        <f>$C6*SUMIF(Numbers!$A$26:$A$35,MvsSvsJ!$B6,Numbers!G$26:G$35)</f>
        <v>224.37612533333336</v>
      </c>
      <c r="F6" s="71">
        <f>$C6*SUMIF(Numbers!$A$26:$A$35,MvsSvsJ!$B6,Numbers!H$26:H$35)</f>
        <v>179.50090026666666</v>
      </c>
    </row>
    <row r="7" spans="1:14" x14ac:dyDescent="0.25">
      <c r="A7" s="104" t="s">
        <v>17</v>
      </c>
      <c r="B7" s="105" t="s">
        <v>117</v>
      </c>
      <c r="C7" s="106">
        <f>'2019 April HT Budget'!B34</f>
        <v>755</v>
      </c>
      <c r="D7" s="71">
        <f>$C7*SUMIF(Numbers!$A$26:$A$35,MvsSvsJ!$B7,Numbers!F$26:F$35)</f>
        <v>340.21604938271605</v>
      </c>
      <c r="E7" s="71">
        <f>$C7*SUMIF(Numbers!$A$26:$A$35,MvsSvsJ!$B7,Numbers!G$26:G$35)</f>
        <v>55.925925925925924</v>
      </c>
      <c r="F7" s="71">
        <f>$C7*SUMIF(Numbers!$A$26:$A$35,MvsSvsJ!$B7,Numbers!H$26:H$35)</f>
        <v>358.85802469135803</v>
      </c>
    </row>
    <row r="8" spans="1:14" x14ac:dyDescent="0.25">
      <c r="A8" s="104" t="s">
        <v>71</v>
      </c>
      <c r="B8" s="105" t="s">
        <v>117</v>
      </c>
      <c r="C8" s="106">
        <f>'2019 April HT Budget'!B35</f>
        <v>100</v>
      </c>
      <c r="D8" s="71">
        <f>$C8*SUMIF(Numbers!$A$26:$A$35,MvsSvsJ!$B8,Numbers!F$26:F$35)</f>
        <v>45.061728395061728</v>
      </c>
      <c r="E8" s="71">
        <f>$C8*SUMIF(Numbers!$A$26:$A$35,MvsSvsJ!$B8,Numbers!G$26:G$35)</f>
        <v>7.4074074074074066</v>
      </c>
      <c r="F8" s="71">
        <f>$C8*SUMIF(Numbers!$A$26:$A$35,MvsSvsJ!$B8,Numbers!H$26:H$35)</f>
        <v>47.530864197530867</v>
      </c>
    </row>
    <row r="9" spans="1:14" x14ac:dyDescent="0.25">
      <c r="A9" s="104" t="s">
        <v>21</v>
      </c>
      <c r="B9" s="105" t="s">
        <v>18</v>
      </c>
      <c r="C9" s="117">
        <f>'2019 April HT Budget'!B36</f>
        <v>1403</v>
      </c>
      <c r="D9" s="71">
        <f>$C9*SUMIF(Numbers!$A$26:$A$35,MvsSvsJ!$B9,Numbers!F$26:F$35)</f>
        <v>821.26829268292681</v>
      </c>
      <c r="E9" s="71">
        <f>$C9*SUMIF(Numbers!$A$26:$A$35,MvsSvsJ!$B9,Numbers!G$26:G$35)</f>
        <v>307.97560975609758</v>
      </c>
      <c r="F9" s="71">
        <f>$C9*SUMIF(Numbers!$A$26:$A$35,MvsSvsJ!$B9,Numbers!H$26:H$35)</f>
        <v>273.7560975609756</v>
      </c>
    </row>
    <row r="10" spans="1:14" x14ac:dyDescent="0.25">
      <c r="A10" s="104" t="s">
        <v>72</v>
      </c>
      <c r="B10" s="105" t="s">
        <v>72</v>
      </c>
      <c r="C10" s="117">
        <f>'2019 April HT Budget'!B37</f>
        <v>4375</v>
      </c>
      <c r="D10" s="71">
        <f>$C10*SUMIF(Numbers!$A$26:$A$35,MvsSvsJ!$B10,Numbers!F$26:F$35)</f>
        <v>3747.5099601593624</v>
      </c>
      <c r="E10" s="71">
        <f>$C10*SUMIF(Numbers!$A$26:$A$35,MvsSvsJ!$B10,Numbers!G$26:G$35)</f>
        <v>627.49003984063745</v>
      </c>
      <c r="F10" s="71">
        <f>$C10*SUMIF(Numbers!$A$26:$A$35,MvsSvsJ!$B10,Numbers!H$26:H$35)</f>
        <v>0</v>
      </c>
    </row>
    <row r="11" spans="1:14" x14ac:dyDescent="0.25">
      <c r="A11" s="102" t="s">
        <v>112</v>
      </c>
      <c r="B11" s="102" t="s">
        <v>83</v>
      </c>
      <c r="C11" s="118">
        <f>'Judges Expenses'!D9</f>
        <v>3494.03</v>
      </c>
      <c r="D11" s="71">
        <f>$C11*SUMIF(Numbers!$A$26:$A$35,MvsSvsJ!$B11,Numbers!F$26:F$35)</f>
        <v>2096.4180000000001</v>
      </c>
      <c r="E11" s="71">
        <f>$C11*SUMIF(Numbers!$A$26:$A$35,MvsSvsJ!$B11,Numbers!G$26:G$35)</f>
        <v>698.80600000000004</v>
      </c>
      <c r="F11" s="71">
        <f>$C11*SUMIF(Numbers!$A$26:$A$35,MvsSvsJ!$B11,Numbers!H$26:H$35)</f>
        <v>698.80600000000004</v>
      </c>
    </row>
    <row r="12" spans="1:14" x14ac:dyDescent="0.25">
      <c r="A12" s="103" t="s">
        <v>26</v>
      </c>
      <c r="B12" s="102" t="s">
        <v>83</v>
      </c>
      <c r="C12" s="118">
        <f>'2019 April HT Budget'!C46</f>
        <v>1120</v>
      </c>
      <c r="D12" s="71">
        <f>$C12*SUMIF(Numbers!$A$26:$A$35,MvsSvsJ!$B12,Numbers!F$26:F$35)</f>
        <v>672</v>
      </c>
      <c r="E12" s="71">
        <f>$C12*SUMIF(Numbers!$A$26:$A$35,MvsSvsJ!$B12,Numbers!G$26:G$35)</f>
        <v>224</v>
      </c>
      <c r="F12" s="71">
        <f>$C12*SUMIF(Numbers!$A$26:$A$35,MvsSvsJ!$B12,Numbers!H$26:H$35)</f>
        <v>224</v>
      </c>
    </row>
    <row r="13" spans="1:14" x14ac:dyDescent="0.25">
      <c r="A13" s="100" t="s">
        <v>22</v>
      </c>
      <c r="B13" s="101" t="s">
        <v>4</v>
      </c>
      <c r="C13" s="115">
        <f>'2019 April HT Budget'!B54</f>
        <v>750</v>
      </c>
      <c r="D13" s="71">
        <f>$C13*SUMIF(Numbers!$A$26:$A$35,MvsSvsJ!$B13,Numbers!F$26:F$35)</f>
        <v>450</v>
      </c>
      <c r="E13" s="71">
        <f>$C13*SUMIF(Numbers!$A$26:$A$35,MvsSvsJ!$B13,Numbers!G$26:G$35)</f>
        <v>150</v>
      </c>
      <c r="F13" s="71">
        <f>$C13*SUMIF(Numbers!$A$26:$A$35,MvsSvsJ!$B13,Numbers!H$26:H$35)</f>
        <v>150</v>
      </c>
    </row>
    <row r="14" spans="1:14" x14ac:dyDescent="0.25">
      <c r="A14" s="100" t="s">
        <v>36</v>
      </c>
      <c r="B14" s="101" t="s">
        <v>0</v>
      </c>
      <c r="C14" s="115">
        <f>SUM('2019 April HT Budget'!B55:B56)</f>
        <v>938.42</v>
      </c>
      <c r="D14" s="71">
        <f>$C14*SUMIF(Numbers!$A$26:$A$35,MvsSvsJ!$B14,Numbers!F$26:F$35)</f>
        <v>516.13099999999997</v>
      </c>
      <c r="E14" s="71">
        <f>$C14*SUMIF(Numbers!$A$26:$A$35,MvsSvsJ!$B14,Numbers!G$26:G$35)</f>
        <v>115.49784615384615</v>
      </c>
      <c r="F14" s="71">
        <f>$C14*SUMIF(Numbers!$A$26:$A$35,MvsSvsJ!$B14,Numbers!H$26:H$35)</f>
        <v>306.79115384615386</v>
      </c>
      <c r="N14">
        <v>6290</v>
      </c>
    </row>
    <row r="15" spans="1:14" x14ac:dyDescent="0.25">
      <c r="A15" s="101" t="s">
        <v>80</v>
      </c>
      <c r="B15" s="101" t="s">
        <v>0</v>
      </c>
      <c r="C15" s="115">
        <f>'2019 April HT Budget'!B57</f>
        <v>1423.19</v>
      </c>
      <c r="D15" s="71">
        <f>$C15*SUMIF(Numbers!$A$26:$A$35,MvsSvsJ!$B15,Numbers!F$26:F$35)</f>
        <v>782.75450000000012</v>
      </c>
      <c r="E15" s="71">
        <f>$C15*SUMIF(Numbers!$A$26:$A$35,MvsSvsJ!$B15,Numbers!G$26:G$35)</f>
        <v>175.16184615384617</v>
      </c>
      <c r="F15" s="71">
        <f>$C15*SUMIF(Numbers!$A$26:$A$35,MvsSvsJ!$B15,Numbers!H$26:H$35)</f>
        <v>465.27365384615388</v>
      </c>
      <c r="N15">
        <v>-1135.7</v>
      </c>
    </row>
    <row r="16" spans="1:14" x14ac:dyDescent="0.25">
      <c r="A16" s="100" t="s">
        <v>23</v>
      </c>
      <c r="B16" s="101" t="s">
        <v>116</v>
      </c>
      <c r="C16" s="115">
        <f>'2019 April HT Budget'!B58</f>
        <v>25</v>
      </c>
      <c r="D16" s="71">
        <f>$C16*SUMIF(Numbers!$A$26:$A$35,MvsSvsJ!$B16,Numbers!F$26:F$35)</f>
        <v>8.3333333333333321</v>
      </c>
      <c r="E16" s="71">
        <f>$C16*SUMIF(Numbers!$A$26:$A$35,MvsSvsJ!$B16,Numbers!G$26:G$35)</f>
        <v>8.3333333333333321</v>
      </c>
      <c r="F16" s="71">
        <f>$C16*SUMIF(Numbers!$A$26:$A$35,MvsSvsJ!$B16,Numbers!H$26:H$35)</f>
        <v>8.3333333333333321</v>
      </c>
      <c r="N16">
        <v>-83</v>
      </c>
    </row>
    <row r="17" spans="1:14" x14ac:dyDescent="0.25">
      <c r="A17" s="100" t="s">
        <v>24</v>
      </c>
      <c r="B17" s="101" t="s">
        <v>0</v>
      </c>
      <c r="C17" s="115">
        <f>'2019 April HT Budget'!B59</f>
        <v>333.9</v>
      </c>
      <c r="D17" s="71">
        <f>$C17*SUMIF(Numbers!$A$26:$A$35,MvsSvsJ!$B17,Numbers!F$26:F$35)</f>
        <v>183.64500000000001</v>
      </c>
      <c r="E17" s="71">
        <f>$C17*SUMIF(Numbers!$A$26:$A$35,MvsSvsJ!$B17,Numbers!G$26:G$35)</f>
        <v>41.095384615384617</v>
      </c>
      <c r="F17" s="71">
        <f>$C17*SUMIF(Numbers!$A$26:$A$35,MvsSvsJ!$B17,Numbers!H$26:H$35)</f>
        <v>109.15961538461538</v>
      </c>
      <c r="N17">
        <f>SUM(N14:N16)</f>
        <v>5071.3</v>
      </c>
    </row>
    <row r="18" spans="1:14" x14ac:dyDescent="0.25">
      <c r="A18" s="104" t="s">
        <v>78</v>
      </c>
      <c r="B18" s="105" t="s">
        <v>83</v>
      </c>
      <c r="C18" s="117">
        <f>'2019 April HT Budget'!B61</f>
        <v>363</v>
      </c>
      <c r="D18" s="71">
        <f>$C18*SUMIF(Numbers!$A$26:$A$35,MvsSvsJ!$B18,Numbers!F$26:F$35)</f>
        <v>217.79999999999998</v>
      </c>
      <c r="E18" s="71">
        <f>$C18*SUMIF(Numbers!$A$26:$A$35,MvsSvsJ!$B18,Numbers!G$26:G$35)</f>
        <v>72.600000000000009</v>
      </c>
      <c r="F18" s="71">
        <f>$C18*SUMIF(Numbers!$A$26:$A$35,MvsSvsJ!$B18,Numbers!H$26:H$35)</f>
        <v>72.600000000000009</v>
      </c>
      <c r="G18" s="19"/>
      <c r="N18" s="128">
        <f>G27</f>
        <v>3932.0759488000003</v>
      </c>
    </row>
    <row r="19" spans="1:14" x14ac:dyDescent="0.25">
      <c r="A19" s="119" t="s">
        <v>128</v>
      </c>
      <c r="B19" s="69" t="s">
        <v>18</v>
      </c>
      <c r="C19" s="70">
        <f>'2019 April HT Budget'!B31</f>
        <v>280</v>
      </c>
      <c r="D19" s="71">
        <f>$C19*SUMIF(Numbers!$A$26:$A$35,MvsSvsJ!$B19,Numbers!F$26:F$35)</f>
        <v>163.90243902439025</v>
      </c>
      <c r="E19" s="71">
        <f>$C19*SUMIF(Numbers!$A$26:$A$35,MvsSvsJ!$B19,Numbers!G$26:G$35)</f>
        <v>61.463414634146339</v>
      </c>
      <c r="F19" s="71">
        <f>$C19*SUMIF(Numbers!$A$26:$A$35,MvsSvsJ!$B19,Numbers!H$26:H$35)</f>
        <v>54.634146341463413</v>
      </c>
      <c r="G19" s="19"/>
      <c r="N19">
        <f>SUM(N17:N18)</f>
        <v>9003.3759487999996</v>
      </c>
    </row>
    <row r="20" spans="1:14" x14ac:dyDescent="0.25">
      <c r="A20" s="119" t="s">
        <v>144</v>
      </c>
      <c r="B20" s="69" t="s">
        <v>0</v>
      </c>
      <c r="C20" s="70">
        <f>SUM('2019 April HT Budget'!B62:B63)</f>
        <v>918.63</v>
      </c>
      <c r="D20" s="71">
        <f>$C20*SUMIF(Numbers!$A$26:$A$35,MvsSvsJ!$B20,Numbers!F$26:F$35)</f>
        <v>505.24650000000003</v>
      </c>
      <c r="E20" s="71">
        <f>$C20*SUMIF(Numbers!$A$26:$A$35,MvsSvsJ!$B20,Numbers!G$26:G$35)</f>
        <v>113.06215384615385</v>
      </c>
      <c r="F20" s="71">
        <f>$C20*SUMIF(Numbers!$A$26:$A$35,MvsSvsJ!$B20,Numbers!H$26:H$35)</f>
        <v>300.32134615384615</v>
      </c>
      <c r="G20" s="19"/>
    </row>
    <row r="21" spans="1:14" x14ac:dyDescent="0.25">
      <c r="A21" s="104" t="s">
        <v>73</v>
      </c>
      <c r="B21" s="105" t="s">
        <v>0</v>
      </c>
      <c r="C21" s="117">
        <f>Scratches!B4</f>
        <v>475</v>
      </c>
      <c r="D21" s="71">
        <f>$C21*SUMIF(Numbers!$A$26:$A$35,MvsSvsJ!$B21,Numbers!F$26:F$35)</f>
        <v>261.25</v>
      </c>
      <c r="E21" s="71">
        <f>$C21*SUMIF(Numbers!$A$26:$A$35,MvsSvsJ!$B21,Numbers!G$26:G$35)</f>
        <v>58.461538461538467</v>
      </c>
      <c r="F21" s="71">
        <f>$C21*SUMIF(Numbers!$A$26:$A$35,MvsSvsJ!$B21,Numbers!H$26:H$35)</f>
        <v>155.28846153846155</v>
      </c>
      <c r="G21" s="19"/>
    </row>
    <row r="22" spans="1:14" x14ac:dyDescent="0.25">
      <c r="A22" s="72" t="s">
        <v>31</v>
      </c>
      <c r="B22" s="72"/>
      <c r="C22" s="73">
        <f>SUM(C4:C21)</f>
        <v>19757.924051200003</v>
      </c>
      <c r="D22" s="71">
        <f>SUM(D4:D21)</f>
        <v>12545.2031275179</v>
      </c>
      <c r="E22" s="71">
        <f>SUM(E4:E21)</f>
        <v>3417.6234240825165</v>
      </c>
      <c r="F22" s="71">
        <f t="shared" ref="F22" si="0">SUM(F4:F21)</f>
        <v>3795.0974995995834</v>
      </c>
      <c r="G22" s="82"/>
    </row>
    <row r="23" spans="1:14" x14ac:dyDescent="0.25">
      <c r="A23" s="75"/>
      <c r="B23" s="76"/>
      <c r="C23" s="77" t="s">
        <v>118</v>
      </c>
      <c r="D23" s="78">
        <f>D22/D3</f>
        <v>87.728693199425877</v>
      </c>
      <c r="E23" s="78">
        <f t="shared" ref="E23:F23" si="1">E22/E3</f>
        <v>106.80073200257864</v>
      </c>
      <c r="F23" s="78">
        <f t="shared" si="1"/>
        <v>44.648205877642155</v>
      </c>
      <c r="G23" s="1"/>
    </row>
    <row r="24" spans="1:14" x14ac:dyDescent="0.25">
      <c r="A24" s="75"/>
      <c r="B24" s="79"/>
      <c r="C24" s="81" t="s">
        <v>113</v>
      </c>
      <c r="D24" s="74">
        <f>Numbers!C2-MvsSvsJ!D23</f>
        <v>7.2713068005741235</v>
      </c>
      <c r="E24" s="74">
        <f>Numbers!C4-MvsSvsJ!E23</f>
        <v>-16.800732002578641</v>
      </c>
      <c r="F24" s="74">
        <f>Numbers!C6-MvsSvsJ!F23</f>
        <v>40.351794122357845</v>
      </c>
      <c r="G24" s="1"/>
    </row>
    <row r="25" spans="1:14" x14ac:dyDescent="0.25">
      <c r="A25" s="75"/>
      <c r="B25" s="79"/>
      <c r="C25" s="77" t="s">
        <v>121</v>
      </c>
      <c r="D25" s="74">
        <f>D2*D3</f>
        <v>13585</v>
      </c>
      <c r="E25" s="74">
        <f t="shared" ref="E25:F25" si="2">E2*E3</f>
        <v>2880</v>
      </c>
      <c r="F25" s="74">
        <f t="shared" si="2"/>
        <v>7225</v>
      </c>
      <c r="G25" s="107">
        <f>SUM(D25:F25)</f>
        <v>23690</v>
      </c>
    </row>
    <row r="26" spans="1:14" x14ac:dyDescent="0.25">
      <c r="A26" s="75"/>
      <c r="B26" s="80"/>
      <c r="C26" s="77" t="s">
        <v>114</v>
      </c>
      <c r="D26" s="74">
        <f>D22*-1</f>
        <v>-12545.2031275179</v>
      </c>
      <c r="E26" s="74">
        <f>E22*-1</f>
        <v>-3417.6234240825165</v>
      </c>
      <c r="F26" s="74">
        <f>F22*-1</f>
        <v>-3795.0974995995834</v>
      </c>
      <c r="G26" s="107">
        <f>SUM(D26:F26)</f>
        <v>-19757.9240512</v>
      </c>
    </row>
    <row r="27" spans="1:14" x14ac:dyDescent="0.25">
      <c r="A27" s="75"/>
      <c r="B27" s="80"/>
      <c r="C27" s="77" t="s">
        <v>115</v>
      </c>
      <c r="D27" s="74">
        <f>D25+D26</f>
        <v>1039.7968724821003</v>
      </c>
      <c r="E27" s="74">
        <f t="shared" ref="E27:F27" si="3">E25+E26</f>
        <v>-537.62342408251652</v>
      </c>
      <c r="F27" s="74">
        <f t="shared" si="3"/>
        <v>3429.9025004004166</v>
      </c>
      <c r="G27" s="107">
        <f>SUM(D27:F27)</f>
        <v>3932.0759488000003</v>
      </c>
    </row>
    <row r="32" spans="1:14" x14ac:dyDescent="0.25">
      <c r="I32" t="s">
        <v>125</v>
      </c>
    </row>
  </sheetData>
  <conditionalFormatting sqref="D23:G27">
    <cfRule type="cellIs" dxfId="0" priority="1" operator="lessThan">
      <formula>0</formula>
    </cfRule>
  </conditionalFormatting>
  <pageMargins left="0.7" right="0.7" top="0.75" bottom="0.75" header="0.3" footer="0.3"/>
  <ignoredErrors>
    <ignoredError sqref="C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A73BA-9E5D-4CAF-A77F-9A99F607EE48}">
  <dimension ref="A1:F17"/>
  <sheetViews>
    <sheetView workbookViewId="0">
      <selection activeCell="D18" sqref="D18"/>
    </sheetView>
  </sheetViews>
  <sheetFormatPr defaultRowHeight="15" x14ac:dyDescent="0.25"/>
  <cols>
    <col min="2" max="2" width="9.140625" style="122"/>
    <col min="3" max="3" width="15" customWidth="1"/>
  </cols>
  <sheetData>
    <row r="1" spans="1:6" x14ac:dyDescent="0.25">
      <c r="A1" s="6"/>
      <c r="B1" s="121" t="s">
        <v>153</v>
      </c>
      <c r="C1" s="6" t="s">
        <v>34</v>
      </c>
      <c r="D1" s="6"/>
    </row>
    <row r="2" spans="1:6" x14ac:dyDescent="0.25">
      <c r="A2" s="3" t="s">
        <v>147</v>
      </c>
      <c r="B2" s="109" t="s">
        <v>154</v>
      </c>
      <c r="C2" s="3" t="s">
        <v>139</v>
      </c>
      <c r="D2" s="3">
        <v>41.36</v>
      </c>
    </row>
    <row r="3" spans="1:6" x14ac:dyDescent="0.25">
      <c r="A3" s="3" t="s">
        <v>147</v>
      </c>
      <c r="B3" s="109" t="s">
        <v>154</v>
      </c>
      <c r="C3" s="3" t="s">
        <v>140</v>
      </c>
      <c r="D3" s="3">
        <v>32.68</v>
      </c>
    </row>
    <row r="4" spans="1:6" x14ac:dyDescent="0.25">
      <c r="A4" s="3" t="s">
        <v>141</v>
      </c>
      <c r="B4" s="109" t="s">
        <v>108</v>
      </c>
      <c r="C4" s="3" t="s">
        <v>142</v>
      </c>
      <c r="D4" s="3">
        <v>27.87</v>
      </c>
    </row>
    <row r="5" spans="1:6" x14ac:dyDescent="0.25">
      <c r="A5" s="3" t="s">
        <v>148</v>
      </c>
      <c r="B5" s="109" t="s">
        <v>154</v>
      </c>
      <c r="C5" s="3" t="s">
        <v>143</v>
      </c>
      <c r="D5" s="3">
        <v>28.39</v>
      </c>
    </row>
    <row r="6" spans="1:6" x14ac:dyDescent="0.25">
      <c r="A6" s="3" t="s">
        <v>145</v>
      </c>
      <c r="B6" s="109" t="s">
        <v>154</v>
      </c>
      <c r="C6" s="3" t="s">
        <v>149</v>
      </c>
      <c r="D6" s="3">
        <v>240.33</v>
      </c>
    </row>
    <row r="7" spans="1:6" x14ac:dyDescent="0.25">
      <c r="A7" s="3" t="s">
        <v>145</v>
      </c>
      <c r="B7" s="109" t="s">
        <v>154</v>
      </c>
      <c r="C7" s="3" t="s">
        <v>149</v>
      </c>
      <c r="D7" s="3">
        <v>-29.68</v>
      </c>
    </row>
    <row r="8" spans="1:6" x14ac:dyDescent="0.25">
      <c r="A8" s="3" t="s">
        <v>150</v>
      </c>
      <c r="B8" s="109" t="s">
        <v>108</v>
      </c>
      <c r="C8" s="3" t="s">
        <v>146</v>
      </c>
      <c r="D8" s="3">
        <v>39.770000000000003</v>
      </c>
    </row>
    <row r="9" spans="1:6" x14ac:dyDescent="0.25">
      <c r="A9" s="3" t="s">
        <v>151</v>
      </c>
      <c r="B9" s="109" t="s">
        <v>108</v>
      </c>
      <c r="C9" s="3" t="s">
        <v>152</v>
      </c>
      <c r="D9" s="3">
        <f>E9*F9</f>
        <v>51.92</v>
      </c>
      <c r="E9">
        <v>4</v>
      </c>
      <c r="F9">
        <v>12.98</v>
      </c>
    </row>
    <row r="10" spans="1:6" x14ac:dyDescent="0.25">
      <c r="A10" s="3" t="s">
        <v>151</v>
      </c>
      <c r="B10" s="109" t="s">
        <v>108</v>
      </c>
      <c r="C10" s="3" t="s">
        <v>152</v>
      </c>
      <c r="D10" s="3">
        <f>E10*F10</f>
        <v>50.94</v>
      </c>
      <c r="E10">
        <v>3</v>
      </c>
      <c r="F10">
        <v>16.98</v>
      </c>
    </row>
    <row r="11" spans="1:6" x14ac:dyDescent="0.25">
      <c r="A11" s="3" t="s">
        <v>150</v>
      </c>
      <c r="B11" s="109" t="s">
        <v>154</v>
      </c>
      <c r="C11" s="3" t="s">
        <v>34</v>
      </c>
      <c r="D11" s="3">
        <v>30.82</v>
      </c>
    </row>
    <row r="12" spans="1:6" x14ac:dyDescent="0.25">
      <c r="A12" s="3" t="s">
        <v>150</v>
      </c>
      <c r="B12" s="109" t="s">
        <v>108</v>
      </c>
      <c r="C12" s="3" t="s">
        <v>155</v>
      </c>
      <c r="D12" s="3">
        <v>69.849999999999994</v>
      </c>
    </row>
    <row r="13" spans="1:6" x14ac:dyDescent="0.25">
      <c r="A13" s="3" t="s">
        <v>150</v>
      </c>
      <c r="B13" s="109" t="s">
        <v>108</v>
      </c>
      <c r="C13" s="3" t="s">
        <v>156</v>
      </c>
      <c r="D13" s="3">
        <v>34.380000000000003</v>
      </c>
    </row>
    <row r="14" spans="1:6" x14ac:dyDescent="0.25">
      <c r="A14" s="3" t="s">
        <v>150</v>
      </c>
      <c r="B14" s="110" t="s">
        <v>108</v>
      </c>
      <c r="C14" s="3" t="s">
        <v>157</v>
      </c>
      <c r="D14" s="3">
        <v>200</v>
      </c>
    </row>
    <row r="15" spans="1:6" x14ac:dyDescent="0.25">
      <c r="A15" s="3" t="s">
        <v>151</v>
      </c>
      <c r="B15" s="110" t="s">
        <v>108</v>
      </c>
      <c r="C15" s="3" t="s">
        <v>158</v>
      </c>
      <c r="D15" s="3">
        <v>100</v>
      </c>
    </row>
    <row r="16" spans="1:6" x14ac:dyDescent="0.25">
      <c r="A16" s="3"/>
      <c r="B16" s="109" t="s">
        <v>108</v>
      </c>
      <c r="C16" s="3"/>
      <c r="D16" s="3">
        <f>SUMIF($B$2:$B$15,B16,$D$2:$D$15)</f>
        <v>574.73</v>
      </c>
    </row>
    <row r="17" spans="1:4" x14ac:dyDescent="0.25">
      <c r="A17" s="3"/>
      <c r="B17" s="123" t="s">
        <v>154</v>
      </c>
      <c r="C17" s="3"/>
      <c r="D17" s="3">
        <f>SUMIF($B$2:$B$15,B17,$D$2:$D$15)</f>
        <v>343.9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451B2-F3D6-4357-B25F-88B0C39372AF}">
  <dimension ref="A1:D4"/>
  <sheetViews>
    <sheetView workbookViewId="0">
      <selection sqref="A1:B4"/>
    </sheetView>
  </sheetViews>
  <sheetFormatPr defaultRowHeight="15" x14ac:dyDescent="0.25"/>
  <cols>
    <col min="1" max="1" width="18.7109375" customWidth="1"/>
  </cols>
  <sheetData>
    <row r="1" spans="1:4" x14ac:dyDescent="0.25">
      <c r="A1" s="3" t="s">
        <v>129</v>
      </c>
      <c r="B1" s="3">
        <v>95</v>
      </c>
      <c r="C1">
        <v>3</v>
      </c>
      <c r="D1">
        <v>95</v>
      </c>
    </row>
    <row r="2" spans="1:4" x14ac:dyDescent="0.25">
      <c r="A2" s="3" t="s">
        <v>130</v>
      </c>
      <c r="B2" s="3">
        <v>190</v>
      </c>
    </row>
    <row r="3" spans="1:4" x14ac:dyDescent="0.25">
      <c r="A3" s="3" t="s">
        <v>131</v>
      </c>
      <c r="B3" s="3">
        <v>190</v>
      </c>
    </row>
    <row r="4" spans="1:4" x14ac:dyDescent="0.25">
      <c r="A4" s="3"/>
      <c r="B4" s="3">
        <f>SUM(B1:B3)</f>
        <v>475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2BE34-2CB5-491B-A3F1-4E4DEB5FC72F}">
  <dimension ref="A1:E9"/>
  <sheetViews>
    <sheetView workbookViewId="0">
      <selection activeCell="D9" sqref="D9"/>
    </sheetView>
  </sheetViews>
  <sheetFormatPr defaultRowHeight="15" x14ac:dyDescent="0.25"/>
  <cols>
    <col min="1" max="1" width="18.7109375" style="3" customWidth="1"/>
    <col min="2" max="3" width="12.7109375" style="3" customWidth="1"/>
    <col min="4" max="4" width="11.28515625" style="3" customWidth="1"/>
    <col min="5" max="5" width="11.5703125" customWidth="1"/>
  </cols>
  <sheetData>
    <row r="1" spans="1:5" x14ac:dyDescent="0.25">
      <c r="A1" s="6"/>
      <c r="B1" s="17" t="s">
        <v>85</v>
      </c>
      <c r="C1" s="17" t="s">
        <v>102</v>
      </c>
      <c r="D1" s="17" t="s">
        <v>31</v>
      </c>
    </row>
    <row r="2" spans="1:5" x14ac:dyDescent="0.25">
      <c r="A2" s="3" t="s">
        <v>132</v>
      </c>
      <c r="B2" s="3">
        <v>116.95</v>
      </c>
      <c r="C2" s="3">
        <v>225.74</v>
      </c>
      <c r="D2" s="3">
        <f>SUM(B2:C2)</f>
        <v>342.69</v>
      </c>
      <c r="E2" t="s">
        <v>126</v>
      </c>
    </row>
    <row r="3" spans="1:5" x14ac:dyDescent="0.25">
      <c r="A3" s="3" t="s">
        <v>133</v>
      </c>
      <c r="B3" s="3">
        <v>133</v>
      </c>
      <c r="C3" s="3">
        <v>338.61</v>
      </c>
      <c r="D3" s="3">
        <f t="shared" ref="D3:D8" si="0">SUM(B3:C3)</f>
        <v>471.61</v>
      </c>
    </row>
    <row r="4" spans="1:5" x14ac:dyDescent="0.25">
      <c r="A4" s="3" t="s">
        <v>134</v>
      </c>
      <c r="B4" s="3">
        <v>624</v>
      </c>
      <c r="C4" s="3">
        <v>401.79</v>
      </c>
      <c r="D4" s="3">
        <f t="shared" si="0"/>
        <v>1025.79</v>
      </c>
    </row>
    <row r="5" spans="1:5" x14ac:dyDescent="0.25">
      <c r="A5" s="3" t="s">
        <v>135</v>
      </c>
      <c r="B5" s="3">
        <v>307.98</v>
      </c>
      <c r="C5" s="3">
        <v>317.18</v>
      </c>
      <c r="D5" s="3">
        <f t="shared" si="0"/>
        <v>625.16000000000008</v>
      </c>
    </row>
    <row r="6" spans="1:5" x14ac:dyDescent="0.25">
      <c r="A6" s="3" t="s">
        <v>136</v>
      </c>
      <c r="B6" s="3">
        <v>108.95</v>
      </c>
      <c r="C6" s="3">
        <v>225.74</v>
      </c>
      <c r="D6" s="3">
        <f t="shared" si="0"/>
        <v>334.69</v>
      </c>
    </row>
    <row r="7" spans="1:5" x14ac:dyDescent="0.25">
      <c r="A7" s="3" t="s">
        <v>137</v>
      </c>
      <c r="B7" s="3">
        <v>141</v>
      </c>
      <c r="C7" s="3">
        <v>225.74</v>
      </c>
      <c r="D7" s="3">
        <f t="shared" si="0"/>
        <v>366.74</v>
      </c>
    </row>
    <row r="8" spans="1:5" x14ac:dyDescent="0.25">
      <c r="A8" s="3" t="s">
        <v>138</v>
      </c>
      <c r="B8" s="3">
        <v>70.010000000000005</v>
      </c>
      <c r="C8" s="3">
        <v>257.33999999999997</v>
      </c>
      <c r="D8" s="3">
        <f t="shared" si="0"/>
        <v>327.34999999999997</v>
      </c>
    </row>
    <row r="9" spans="1:5" x14ac:dyDescent="0.25">
      <c r="B9" s="3">
        <f>SUM(B2:B8)</f>
        <v>1501.89</v>
      </c>
      <c r="C9" s="3">
        <f>SUM(C2:C8)</f>
        <v>1992.14</v>
      </c>
      <c r="D9" s="3">
        <f>SUM(D2:D8)</f>
        <v>3494.03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zoomScaleNormal="100" workbookViewId="0">
      <selection activeCell="A7" sqref="A7:F11"/>
    </sheetView>
  </sheetViews>
  <sheetFormatPr defaultRowHeight="15" x14ac:dyDescent="0.25"/>
  <cols>
    <col min="2" max="2" width="6.5703125" customWidth="1"/>
    <col min="6" max="6" width="12.5703125" customWidth="1"/>
    <col min="7" max="7" width="6.28515625" customWidth="1"/>
    <col min="8" max="8" width="14.28515625" customWidth="1"/>
    <col min="9" max="9" width="4.85546875" customWidth="1"/>
  </cols>
  <sheetData>
    <row r="1" spans="1:9" x14ac:dyDescent="0.25">
      <c r="A1" s="6" t="s">
        <v>9</v>
      </c>
      <c r="B1" s="6" t="s">
        <v>46</v>
      </c>
      <c r="C1" s="6" t="s">
        <v>43</v>
      </c>
      <c r="D1" s="6" t="s">
        <v>44</v>
      </c>
      <c r="E1" s="6" t="s">
        <v>45</v>
      </c>
      <c r="F1" s="6" t="s">
        <v>91</v>
      </c>
      <c r="G1" s="6" t="s">
        <v>0</v>
      </c>
      <c r="H1" s="6" t="s">
        <v>92</v>
      </c>
    </row>
    <row r="2" spans="1:9" x14ac:dyDescent="0.25">
      <c r="A2" s="3" t="s">
        <v>6</v>
      </c>
      <c r="B2" s="3">
        <v>3.3332999999999999</v>
      </c>
      <c r="C2" s="44">
        <f>Numbers!B12</f>
        <v>1</v>
      </c>
      <c r="D2" s="44">
        <f>Numbers!C12</f>
        <v>0.85</v>
      </c>
      <c r="E2" s="44">
        <f>Numbers!D12</f>
        <v>0.75</v>
      </c>
      <c r="F2" s="3">
        <f>B2*C2+B2*D2+B2*E2</f>
        <v>8.6665799999999997</v>
      </c>
      <c r="G2" s="3">
        <f>Numbers!D3</f>
        <v>143</v>
      </c>
      <c r="H2" s="49">
        <f>F2*G2</f>
        <v>1239.3209400000001</v>
      </c>
      <c r="I2" s="50"/>
    </row>
    <row r="3" spans="1:9" x14ac:dyDescent="0.25">
      <c r="A3" s="3" t="s">
        <v>11</v>
      </c>
      <c r="B3" s="3">
        <v>2</v>
      </c>
      <c r="C3" s="44">
        <f>Numbers!B13</f>
        <v>1</v>
      </c>
      <c r="D3" s="44">
        <f>Numbers!C13</f>
        <v>0.75</v>
      </c>
      <c r="E3" s="44"/>
      <c r="F3" s="3">
        <f>B3*C3+B3*D3+B3*E3</f>
        <v>3.5</v>
      </c>
      <c r="G3" s="3">
        <f>Numbers!D5</f>
        <v>32</v>
      </c>
      <c r="H3" s="49">
        <f t="shared" ref="H3:H4" si="0">F3*G3</f>
        <v>112</v>
      </c>
      <c r="I3" s="50"/>
    </row>
    <row r="4" spans="1:9" x14ac:dyDescent="0.25">
      <c r="A4" s="3" t="s">
        <v>12</v>
      </c>
      <c r="B4" s="3">
        <v>2</v>
      </c>
      <c r="C4" s="44">
        <f>Numbers!B14</f>
        <v>1</v>
      </c>
      <c r="D4" s="44">
        <f>Numbers!C14</f>
        <v>0.95</v>
      </c>
      <c r="E4" s="44"/>
      <c r="F4" s="3">
        <f>B4*C4+B4*D4+B4*E4</f>
        <v>3.9</v>
      </c>
      <c r="G4" s="3">
        <f>Numbers!D7</f>
        <v>85</v>
      </c>
      <c r="H4" s="51">
        <f t="shared" si="0"/>
        <v>331.5</v>
      </c>
      <c r="I4" s="50"/>
    </row>
    <row r="5" spans="1:9" x14ac:dyDescent="0.25">
      <c r="H5" s="52">
        <f>SUM(H2:H4)</f>
        <v>1682.8209400000001</v>
      </c>
      <c r="I5" s="52">
        <f>H5/250</f>
        <v>6.7312837600000002</v>
      </c>
    </row>
    <row r="6" spans="1:9" x14ac:dyDescent="0.25">
      <c r="H6" s="55"/>
      <c r="I6" s="55"/>
    </row>
    <row r="7" spans="1:9" x14ac:dyDescent="0.25">
      <c r="A7" s="6" t="s">
        <v>96</v>
      </c>
      <c r="B7" s="6" t="s">
        <v>97</v>
      </c>
      <c r="C7" s="6" t="s">
        <v>10</v>
      </c>
      <c r="D7" s="6"/>
      <c r="E7" s="48">
        <f>Numbers!C16</f>
        <v>4</v>
      </c>
    </row>
    <row r="8" spans="1:9" x14ac:dyDescent="0.25">
      <c r="A8" s="3" t="s">
        <v>6</v>
      </c>
      <c r="B8" s="3">
        <v>1</v>
      </c>
      <c r="C8" s="3">
        <f>Numbers!D3</f>
        <v>143</v>
      </c>
      <c r="D8" s="3"/>
      <c r="E8" s="49">
        <f>$E$7*C8*B8</f>
        <v>572</v>
      </c>
      <c r="F8" s="50"/>
    </row>
    <row r="9" spans="1:9" x14ac:dyDescent="0.25">
      <c r="A9" s="3" t="s">
        <v>11</v>
      </c>
      <c r="B9" s="3">
        <v>1</v>
      </c>
      <c r="C9" s="3">
        <f>Numbers!D5</f>
        <v>32</v>
      </c>
      <c r="D9" s="3"/>
      <c r="E9" s="49">
        <f t="shared" ref="E9:E10" si="1">$E$7*C9*B9</f>
        <v>128</v>
      </c>
      <c r="F9" s="50"/>
    </row>
    <row r="10" spans="1:9" x14ac:dyDescent="0.25">
      <c r="A10" s="3" t="s">
        <v>12</v>
      </c>
      <c r="B10" s="3">
        <v>0</v>
      </c>
      <c r="C10" s="3">
        <f>Numbers!D7</f>
        <v>85</v>
      </c>
      <c r="D10" s="3"/>
      <c r="E10" s="51">
        <f t="shared" si="1"/>
        <v>0</v>
      </c>
      <c r="F10" s="50"/>
    </row>
    <row r="11" spans="1:9" x14ac:dyDescent="0.25">
      <c r="E11" s="49">
        <f>SUM(E8:E10)</f>
        <v>700</v>
      </c>
      <c r="F11" s="49">
        <f>E11/250</f>
        <v>2.8</v>
      </c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"/>
  <sheetViews>
    <sheetView workbookViewId="0">
      <selection activeCell="B5" sqref="B5"/>
    </sheetView>
  </sheetViews>
  <sheetFormatPr defaultRowHeight="15" x14ac:dyDescent="0.25"/>
  <cols>
    <col min="2" max="2" width="5.85546875" customWidth="1"/>
    <col min="3" max="3" width="7" customWidth="1"/>
    <col min="4" max="4" width="6.42578125" customWidth="1"/>
  </cols>
  <sheetData>
    <row r="1" spans="1:4" x14ac:dyDescent="0.25">
      <c r="A1" s="6"/>
      <c r="B1" s="17" t="s">
        <v>0</v>
      </c>
      <c r="C1" s="17" t="s">
        <v>99</v>
      </c>
      <c r="D1" s="17" t="s">
        <v>31</v>
      </c>
    </row>
    <row r="2" spans="1:4" x14ac:dyDescent="0.25">
      <c r="A2" s="3" t="s">
        <v>6</v>
      </c>
      <c r="B2" s="3">
        <f>Numbers!D3</f>
        <v>143</v>
      </c>
      <c r="C2" s="44">
        <f>Numbers!E12</f>
        <v>0.7</v>
      </c>
      <c r="D2" s="3">
        <f>B2*C2</f>
        <v>100.1</v>
      </c>
    </row>
    <row r="3" spans="1:4" x14ac:dyDescent="0.25">
      <c r="A3" s="3" t="s">
        <v>11</v>
      </c>
      <c r="B3" s="3">
        <f>Numbers!D5</f>
        <v>32</v>
      </c>
      <c r="C3" s="44">
        <f>Numbers!E13</f>
        <v>0.7</v>
      </c>
      <c r="D3" s="3">
        <f t="shared" ref="D3:D4" si="0">B3*C3</f>
        <v>22.4</v>
      </c>
    </row>
    <row r="4" spans="1:4" x14ac:dyDescent="0.25">
      <c r="A4" s="3" t="s">
        <v>12</v>
      </c>
      <c r="B4" s="3">
        <f>Numbers!D7</f>
        <v>85</v>
      </c>
      <c r="C4" s="44">
        <f>Numbers!E14</f>
        <v>0.9</v>
      </c>
      <c r="D4" s="3">
        <f t="shared" si="0"/>
        <v>76.5</v>
      </c>
    </row>
    <row r="5" spans="1:4" x14ac:dyDescent="0.25">
      <c r="D5">
        <f>SUM(D2:D4)</f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1"/>
  <sheetViews>
    <sheetView workbookViewId="0">
      <selection activeCell="E26" sqref="E26"/>
    </sheetView>
  </sheetViews>
  <sheetFormatPr defaultRowHeight="15" x14ac:dyDescent="0.25"/>
  <cols>
    <col min="1" max="3" width="10.7109375" customWidth="1"/>
    <col min="4" max="5" width="8.5703125" customWidth="1"/>
    <col min="6" max="7" width="11.28515625" customWidth="1"/>
    <col min="8" max="9" width="10.7109375" customWidth="1"/>
    <col min="10" max="11" width="11" customWidth="1"/>
  </cols>
  <sheetData>
    <row r="1" spans="1:11" x14ac:dyDescent="0.25">
      <c r="A1" t="s">
        <v>60</v>
      </c>
    </row>
    <row r="2" spans="1:11" x14ac:dyDescent="0.25">
      <c r="A2" t="s">
        <v>6</v>
      </c>
      <c r="D2" t="s">
        <v>57</v>
      </c>
      <c r="F2" t="s">
        <v>61</v>
      </c>
      <c r="H2" t="s">
        <v>58</v>
      </c>
    </row>
    <row r="3" spans="1:11" x14ac:dyDescent="0.25">
      <c r="D3">
        <v>1</v>
      </c>
      <c r="F3">
        <v>1</v>
      </c>
      <c r="H3">
        <v>2</v>
      </c>
    </row>
    <row r="4" spans="1:11" x14ac:dyDescent="0.25">
      <c r="D4" t="s">
        <v>1</v>
      </c>
      <c r="F4" t="s">
        <v>2</v>
      </c>
      <c r="H4" t="s">
        <v>3</v>
      </c>
    </row>
    <row r="5" spans="1:11" x14ac:dyDescent="0.25">
      <c r="A5" s="1" t="s">
        <v>55</v>
      </c>
      <c r="B5" s="1"/>
      <c r="C5" s="1"/>
    </row>
    <row r="6" spans="1:11" x14ac:dyDescent="0.25">
      <c r="A6" s="5" t="s">
        <v>56</v>
      </c>
      <c r="B6" s="5"/>
      <c r="C6" s="5"/>
    </row>
    <row r="7" spans="1:11" x14ac:dyDescent="0.25">
      <c r="A7" s="5" t="s">
        <v>51</v>
      </c>
      <c r="B7" s="5"/>
      <c r="C7" s="5"/>
      <c r="D7" s="2">
        <v>0.05</v>
      </c>
      <c r="E7" s="2"/>
    </row>
    <row r="8" spans="1:11" x14ac:dyDescent="0.25">
      <c r="A8" s="5" t="s">
        <v>54</v>
      </c>
      <c r="B8" s="5"/>
      <c r="C8" s="5"/>
      <c r="D8" s="4">
        <v>10</v>
      </c>
      <c r="E8" s="4"/>
    </row>
    <row r="9" spans="1:11" x14ac:dyDescent="0.25">
      <c r="A9" s="6"/>
      <c r="B9" s="6"/>
      <c r="C9" s="6"/>
      <c r="D9" s="6" t="s">
        <v>0</v>
      </c>
      <c r="E9" s="6"/>
      <c r="F9" s="6" t="s">
        <v>8</v>
      </c>
      <c r="G9" s="6"/>
      <c r="H9" s="6" t="s">
        <v>52</v>
      </c>
      <c r="I9" s="6"/>
      <c r="J9" s="6" t="s">
        <v>53</v>
      </c>
      <c r="K9" s="11"/>
    </row>
    <row r="10" spans="1:11" x14ac:dyDescent="0.25">
      <c r="A10" s="3" t="s">
        <v>6</v>
      </c>
      <c r="B10" s="3"/>
      <c r="C10" s="3"/>
      <c r="D10" s="3">
        <v>90</v>
      </c>
      <c r="E10" s="3"/>
      <c r="F10" s="3" t="e">
        <f>D10*'2019 April HT Budget'!#REF!</f>
        <v>#REF!</v>
      </c>
      <c r="G10" s="3"/>
      <c r="H10" s="3" t="e">
        <f>F10*(1+$D$7)</f>
        <v>#REF!</v>
      </c>
      <c r="I10" s="3"/>
      <c r="J10" s="3">
        <v>50</v>
      </c>
    </row>
    <row r="11" spans="1:11" x14ac:dyDescent="0.25">
      <c r="A11" s="3" t="s">
        <v>11</v>
      </c>
      <c r="B11" s="3"/>
      <c r="C11" s="3"/>
      <c r="D11" s="3">
        <v>40</v>
      </c>
      <c r="E11" s="3"/>
      <c r="F11" s="3" t="e">
        <f>D11*'2019 April HT Budget'!#REF!</f>
        <v>#REF!</v>
      </c>
      <c r="G11" s="3"/>
      <c r="H11" s="3" t="e">
        <f>F11*(1+$D$7)</f>
        <v>#REF!</v>
      </c>
      <c r="I11" s="3"/>
      <c r="J11" s="3">
        <v>0</v>
      </c>
    </row>
    <row r="12" spans="1:11" x14ac:dyDescent="0.25">
      <c r="A12" s="3" t="s">
        <v>12</v>
      </c>
      <c r="B12" s="3"/>
      <c r="C12" s="3"/>
      <c r="D12" s="3">
        <v>60</v>
      </c>
      <c r="E12" s="3"/>
      <c r="F12" s="3" t="e">
        <f>D12*'2019 April HT Budget'!#REF!</f>
        <v>#REF!</v>
      </c>
      <c r="G12" s="3"/>
      <c r="H12" s="3" t="e">
        <f>F12*(1+$D$7)</f>
        <v>#REF!</v>
      </c>
      <c r="I12" s="3"/>
      <c r="J12" s="3">
        <v>40</v>
      </c>
    </row>
    <row r="13" spans="1:11" x14ac:dyDescent="0.25">
      <c r="A13" s="3" t="s">
        <v>31</v>
      </c>
      <c r="B13" s="3"/>
      <c r="C13" s="3"/>
      <c r="D13" s="3"/>
      <c r="E13" s="3"/>
      <c r="F13" s="3" t="e">
        <f>SUM(F10:F12)</f>
        <v>#REF!</v>
      </c>
      <c r="G13" s="3"/>
      <c r="H13" s="3" t="e">
        <f>SUM(H10:H12)</f>
        <v>#REF!</v>
      </c>
      <c r="I13" s="3"/>
      <c r="J13" s="3">
        <f>SUM(J10:J12)</f>
        <v>90</v>
      </c>
    </row>
    <row r="14" spans="1:11" x14ac:dyDescent="0.25">
      <c r="K14" t="e">
        <f>H13+J13</f>
        <v>#REF!</v>
      </c>
    </row>
    <row r="16" spans="1:11" x14ac:dyDescent="0.25">
      <c r="A16" s="1" t="s">
        <v>55</v>
      </c>
      <c r="B16" s="1"/>
      <c r="C16" s="1"/>
    </row>
    <row r="17" spans="1:14" x14ac:dyDescent="0.25">
      <c r="A17" s="5" t="s">
        <v>56</v>
      </c>
      <c r="B17" s="5"/>
      <c r="C17" s="5"/>
    </row>
    <row r="18" spans="1:14" x14ac:dyDescent="0.25">
      <c r="A18" s="5" t="s">
        <v>51</v>
      </c>
      <c r="B18" s="5"/>
      <c r="C18" s="5"/>
      <c r="D18" s="2">
        <v>0.1</v>
      </c>
      <c r="E18" s="2"/>
    </row>
    <row r="19" spans="1:14" x14ac:dyDescent="0.25">
      <c r="A19" s="5" t="s">
        <v>54</v>
      </c>
      <c r="B19" s="5"/>
      <c r="C19" s="5"/>
      <c r="D19" s="8">
        <v>10</v>
      </c>
      <c r="E19" s="8"/>
      <c r="F19">
        <v>15</v>
      </c>
    </row>
    <row r="20" spans="1:14" x14ac:dyDescent="0.25">
      <c r="A20" s="3"/>
      <c r="B20" s="12"/>
      <c r="C20" s="127" t="s">
        <v>127</v>
      </c>
      <c r="D20" s="127"/>
      <c r="E20" s="127"/>
      <c r="F20" s="127"/>
      <c r="G20" s="126" t="s">
        <v>59</v>
      </c>
      <c r="H20" s="126"/>
      <c r="I20" s="126"/>
      <c r="J20" s="125"/>
      <c r="K20" s="124" t="s">
        <v>68</v>
      </c>
      <c r="L20" s="126"/>
      <c r="M20" s="126"/>
      <c r="N20" s="125"/>
    </row>
    <row r="21" spans="1:14" x14ac:dyDescent="0.25">
      <c r="A21" s="3"/>
      <c r="B21" s="12"/>
      <c r="C21" s="127" t="s">
        <v>57</v>
      </c>
      <c r="D21" s="127"/>
      <c r="E21" s="127" t="s">
        <v>100</v>
      </c>
      <c r="F21" s="127"/>
      <c r="G21" s="126" t="s">
        <v>57</v>
      </c>
      <c r="H21" s="125"/>
      <c r="I21" s="124" t="s">
        <v>100</v>
      </c>
      <c r="J21" s="125"/>
      <c r="K21" s="124" t="s">
        <v>69</v>
      </c>
      <c r="L21" s="125"/>
      <c r="M21" s="124" t="s">
        <v>100</v>
      </c>
      <c r="N21" s="125"/>
    </row>
    <row r="22" spans="1:14" x14ac:dyDescent="0.25">
      <c r="A22" s="3" t="s">
        <v>62</v>
      </c>
      <c r="B22" s="12">
        <f>Numbers!B2</f>
        <v>69</v>
      </c>
      <c r="C22" s="3">
        <v>1</v>
      </c>
      <c r="D22" s="9">
        <f>ROUNDUP(B22*(1+D7),0)*C22</f>
        <v>73</v>
      </c>
      <c r="E22" s="9">
        <v>3</v>
      </c>
      <c r="F22" s="3">
        <f>COUNTIF(B22,"&gt;0")*E22*D19</f>
        <v>30</v>
      </c>
      <c r="G22" s="13">
        <v>0</v>
      </c>
      <c r="H22" s="3">
        <v>0</v>
      </c>
      <c r="I22" s="3">
        <v>5</v>
      </c>
      <c r="J22" s="3">
        <f>I22*F19</f>
        <v>75</v>
      </c>
      <c r="K22" s="3">
        <v>0</v>
      </c>
      <c r="L22" s="3">
        <v>0</v>
      </c>
      <c r="M22" s="3">
        <v>4</v>
      </c>
      <c r="N22" s="3">
        <f>M22*F19</f>
        <v>60</v>
      </c>
    </row>
    <row r="23" spans="1:14" x14ac:dyDescent="0.25">
      <c r="A23" s="3" t="s">
        <v>63</v>
      </c>
      <c r="B23" s="12">
        <f>Numbers!B3</f>
        <v>74</v>
      </c>
      <c r="C23" s="3">
        <v>1</v>
      </c>
      <c r="D23" s="9">
        <f>ROUNDUP(B23*(1+D18),0)*C23</f>
        <v>82</v>
      </c>
      <c r="E23" s="9">
        <v>3</v>
      </c>
      <c r="F23" s="3">
        <f>COUNTIF(B23,"&gt;0")*E23*D19</f>
        <v>30</v>
      </c>
      <c r="G23" s="13">
        <v>0</v>
      </c>
      <c r="H23" s="3">
        <v>0</v>
      </c>
      <c r="I23" s="3">
        <v>4</v>
      </c>
      <c r="J23" s="3">
        <f>I23*F19</f>
        <v>60</v>
      </c>
      <c r="K23" s="3">
        <v>0</v>
      </c>
      <c r="L23" s="3">
        <v>0</v>
      </c>
      <c r="M23" s="3">
        <v>5</v>
      </c>
      <c r="N23" s="3">
        <f>M23*F19</f>
        <v>75</v>
      </c>
    </row>
    <row r="24" spans="1:14" x14ac:dyDescent="0.25">
      <c r="A24" s="3" t="s">
        <v>64</v>
      </c>
      <c r="B24" s="12">
        <f>Numbers!B4</f>
        <v>18</v>
      </c>
      <c r="C24" s="16"/>
      <c r="D24" s="16"/>
      <c r="E24" s="16"/>
      <c r="F24" s="16"/>
      <c r="G24" s="16"/>
      <c r="H24" s="16"/>
      <c r="I24" s="16"/>
      <c r="J24" s="16"/>
      <c r="K24" s="3">
        <v>1</v>
      </c>
      <c r="L24" s="3">
        <f>ROUNDUP(B24*(1+D18),0)</f>
        <v>20</v>
      </c>
      <c r="M24" s="3"/>
      <c r="N24" s="3">
        <f>COUNTIF(B24,"&gt;0")*30</f>
        <v>30</v>
      </c>
    </row>
    <row r="25" spans="1:14" x14ac:dyDescent="0.25">
      <c r="A25" s="3" t="s">
        <v>65</v>
      </c>
      <c r="B25" s="12">
        <f>Numbers!B5</f>
        <v>14</v>
      </c>
      <c r="C25" s="7"/>
      <c r="D25" s="7"/>
      <c r="E25" s="7"/>
      <c r="F25" s="7"/>
      <c r="G25" s="7"/>
      <c r="H25" s="7"/>
      <c r="I25" s="7"/>
      <c r="J25" s="7"/>
      <c r="K25" s="3">
        <v>1</v>
      </c>
      <c r="L25" s="3">
        <f>ROUNDUP(B25*(1+D18),0)</f>
        <v>16</v>
      </c>
      <c r="M25" s="3"/>
      <c r="N25" s="3">
        <f>COUNTIF(B25,"&gt;0")*30</f>
        <v>30</v>
      </c>
    </row>
    <row r="26" spans="1:14" x14ac:dyDescent="0.25">
      <c r="A26" s="3" t="s">
        <v>66</v>
      </c>
      <c r="B26" s="12">
        <f>Numbers!B6</f>
        <v>44</v>
      </c>
      <c r="C26" s="16"/>
      <c r="D26" s="16"/>
      <c r="E26" s="16"/>
      <c r="F26" s="16"/>
      <c r="G26" s="13">
        <v>0</v>
      </c>
      <c r="H26" s="3">
        <v>0</v>
      </c>
      <c r="I26" s="3">
        <v>2</v>
      </c>
      <c r="J26" s="3">
        <f>COUNTIF(F26,"&gt;0")*25</f>
        <v>0</v>
      </c>
      <c r="K26" s="6"/>
      <c r="L26" s="6"/>
      <c r="M26" s="6"/>
      <c r="N26" s="6"/>
    </row>
    <row r="27" spans="1:14" x14ac:dyDescent="0.25">
      <c r="A27" s="3" t="s">
        <v>67</v>
      </c>
      <c r="B27" s="12">
        <f>Numbers!B7</f>
        <v>41</v>
      </c>
      <c r="C27" s="7"/>
      <c r="D27" s="7"/>
      <c r="E27" s="7"/>
      <c r="F27" s="7"/>
      <c r="G27" s="13">
        <v>0</v>
      </c>
      <c r="H27" s="3">
        <v>0</v>
      </c>
      <c r="I27" s="3">
        <v>2</v>
      </c>
      <c r="J27" s="3">
        <f>COUNTIF(F27,"&gt;0")*25</f>
        <v>0</v>
      </c>
      <c r="K27" s="6"/>
      <c r="L27" s="6"/>
      <c r="M27" s="6"/>
      <c r="N27" s="6"/>
    </row>
    <row r="28" spans="1:14" x14ac:dyDescent="0.25">
      <c r="A28" s="3"/>
      <c r="B28" s="12"/>
      <c r="C28" s="14"/>
      <c r="D28" s="46">
        <f>SUM(D22:D27)</f>
        <v>155</v>
      </c>
      <c r="E28" s="15"/>
      <c r="F28" s="53">
        <f>SUM(F22:F27)</f>
        <v>60</v>
      </c>
      <c r="G28" s="13"/>
      <c r="H28" s="10">
        <f>SUM(H22:H27)</f>
        <v>0</v>
      </c>
      <c r="I28" s="10"/>
      <c r="J28" s="3">
        <f>SUM(J22:J27)</f>
        <v>135</v>
      </c>
      <c r="K28" s="3"/>
      <c r="L28" s="47">
        <f>SUM(L22:L27)</f>
        <v>36</v>
      </c>
      <c r="M28" s="10"/>
      <c r="N28" s="3">
        <f>SUM(N22:N27)</f>
        <v>195</v>
      </c>
    </row>
    <row r="29" spans="1:14" x14ac:dyDescent="0.25">
      <c r="M29" s="3" t="s">
        <v>8</v>
      </c>
      <c r="N29" s="47">
        <f>D28+H28+L28</f>
        <v>191</v>
      </c>
    </row>
    <row r="30" spans="1:14" x14ac:dyDescent="0.25">
      <c r="M30" s="3" t="s">
        <v>100</v>
      </c>
      <c r="N30" s="54">
        <f>F28</f>
        <v>60</v>
      </c>
    </row>
    <row r="31" spans="1:14" x14ac:dyDescent="0.25">
      <c r="M31" s="3" t="s">
        <v>31</v>
      </c>
      <c r="N31" s="3">
        <f>SUM(N29:N30)</f>
        <v>251</v>
      </c>
    </row>
  </sheetData>
  <mergeCells count="9">
    <mergeCell ref="K21:L21"/>
    <mergeCell ref="M21:N21"/>
    <mergeCell ref="K20:N20"/>
    <mergeCell ref="C21:D21"/>
    <mergeCell ref="E21:F21"/>
    <mergeCell ref="G21:H21"/>
    <mergeCell ref="I21:J21"/>
    <mergeCell ref="C20:F20"/>
    <mergeCell ref="G20:J20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Numbers</vt:lpstr>
      <vt:lpstr>2019 April HT Budget</vt:lpstr>
      <vt:lpstr>MvsSvsJ</vt:lpstr>
      <vt:lpstr>Misc Actuals</vt:lpstr>
      <vt:lpstr>Scratches</vt:lpstr>
      <vt:lpstr>Judges Expenses</vt:lpstr>
      <vt:lpstr>Ammo</vt:lpstr>
      <vt:lpstr>Passes-Ribbons</vt:lpstr>
      <vt:lpstr>Bird Calculations</vt:lpstr>
      <vt:lpstr>'2019 April HT Budget'!Print_Area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 Whitacre</cp:lastModifiedBy>
  <cp:lastPrinted>2017-01-21T22:13:18Z</cp:lastPrinted>
  <dcterms:created xsi:type="dcterms:W3CDTF">2014-11-25T12:32:56Z</dcterms:created>
  <dcterms:modified xsi:type="dcterms:W3CDTF">2019-04-17T01:56:48Z</dcterms:modified>
</cp:coreProperties>
</file>